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СНТ\собрание\2026\Публикация\"/>
    </mc:Choice>
  </mc:AlternateContent>
  <xr:revisionPtr revIDLastSave="0" documentId="13_ncr:1_{74C1AE9D-7455-491E-AEDF-FB79CE298EFE}" xr6:coauthVersionLast="36" xr6:coauthVersionMax="36" xr10:uidLastSave="{00000000-0000-0000-0000-000000000000}"/>
  <bookViews>
    <workbookView xWindow="0" yWindow="0" windowWidth="28800" windowHeight="11700" tabRatio="764" xr2:uid="{00000000-000D-0000-FFFF-FFFF00000000}"/>
  </bookViews>
  <sheets>
    <sheet name="Смета 2026" sheetId="13" r:id="rId1"/>
    <sheet name="Оплата контрагентам" sheetId="4" r:id="rId2"/>
    <sheet name="Благоустройство" sheetId="6" r:id="rId3"/>
    <sheet name="Заработная плата" sheetId="2" r:id="rId4"/>
    <sheet name="Налоги и отчисления" sheetId="3" r:id="rId5"/>
    <sheet name="Противопожарные мероприятия" sheetId="7" r:id="rId6"/>
    <sheet name="Мероприятия и праздники" sheetId="5" r:id="rId7"/>
    <sheet name="Прочее" sheetId="8" r:id="rId8"/>
    <sheet name="Поддержание водопровода" sheetId="9" r:id="rId9"/>
  </sheets>
  <calcPr calcId="191029"/>
</workbook>
</file>

<file path=xl/calcChain.xml><?xml version="1.0" encoding="utf-8"?>
<calcChain xmlns="http://schemas.openxmlformats.org/spreadsheetml/2006/main">
  <c r="C17" i="6" l="1"/>
  <c r="D6" i="6"/>
  <c r="D15" i="6"/>
  <c r="D16" i="6"/>
  <c r="D14" i="8"/>
  <c r="D13" i="8"/>
  <c r="C6" i="2" l="1"/>
  <c r="B6" i="2"/>
  <c r="C41" i="13" l="1"/>
  <c r="C39" i="13"/>
  <c r="C35" i="13" l="1"/>
  <c r="C30" i="13" l="1"/>
  <c r="C31" i="13" s="1"/>
  <c r="C18" i="13"/>
  <c r="C17" i="13"/>
  <c r="D4" i="4"/>
  <c r="D10" i="4" l="1"/>
  <c r="C11" i="3" l="1"/>
  <c r="D11" i="3"/>
  <c r="D8" i="3"/>
  <c r="D12" i="8" l="1"/>
  <c r="C7" i="5"/>
  <c r="D16" i="8" l="1"/>
  <c r="C8" i="8"/>
  <c r="D11" i="8"/>
  <c r="D10" i="8"/>
  <c r="D9" i="8"/>
  <c r="C7" i="7"/>
  <c r="C4" i="7"/>
  <c r="D21" i="6"/>
  <c r="D8" i="8" l="1"/>
  <c r="D7" i="3"/>
  <c r="D19" i="4" l="1"/>
  <c r="C10" i="7" l="1"/>
  <c r="D12" i="7"/>
  <c r="C22" i="6"/>
  <c r="C13" i="6"/>
  <c r="C4" i="6"/>
  <c r="D16" i="4"/>
  <c r="D18" i="4"/>
  <c r="D17" i="4"/>
  <c r="D24" i="6"/>
  <c r="D15" i="4"/>
  <c r="D14" i="4"/>
  <c r="D11" i="7"/>
  <c r="D9" i="7"/>
  <c r="D10" i="6" l="1"/>
  <c r="D13" i="4"/>
  <c r="C15" i="9" l="1"/>
  <c r="C4" i="9"/>
  <c r="C12" i="9"/>
  <c r="C7" i="9"/>
  <c r="C6" i="9" s="1"/>
  <c r="C18" i="9"/>
  <c r="C16" i="9" s="1"/>
  <c r="D17" i="9"/>
  <c r="C19" i="9" l="1"/>
  <c r="D16" i="9" l="1"/>
  <c r="D14" i="9"/>
  <c r="D13" i="9"/>
  <c r="D10" i="9"/>
  <c r="D9" i="9"/>
  <c r="D8" i="9"/>
  <c r="D12" i="9" l="1"/>
  <c r="D6" i="9"/>
  <c r="D5" i="9"/>
  <c r="D10" i="3"/>
  <c r="D6" i="3"/>
  <c r="D19" i="9" l="1"/>
  <c r="D20" i="9" s="1"/>
  <c r="D21" i="9" s="1"/>
  <c r="C21" i="9" s="1"/>
  <c r="C5" i="2"/>
  <c r="B5" i="2"/>
  <c r="D7" i="8"/>
  <c r="D6" i="8"/>
  <c r="D5" i="8"/>
  <c r="C4" i="8"/>
  <c r="C16" i="8" s="1"/>
  <c r="D10" i="7"/>
  <c r="D8" i="7"/>
  <c r="D6" i="7"/>
  <c r="D5" i="7"/>
  <c r="D26" i="6"/>
  <c r="D25" i="6"/>
  <c r="D23" i="6"/>
  <c r="D22" i="6"/>
  <c r="D20" i="6"/>
  <c r="D19" i="6"/>
  <c r="D18" i="6"/>
  <c r="C28" i="6"/>
  <c r="D14" i="6"/>
  <c r="D13" i="6"/>
  <c r="D12" i="6"/>
  <c r="D11" i="6"/>
  <c r="D9" i="6"/>
  <c r="D8" i="6"/>
  <c r="D7" i="6"/>
  <c r="D5" i="6"/>
  <c r="D4" i="6"/>
  <c r="D12" i="4"/>
  <c r="D11" i="4"/>
  <c r="D9" i="4"/>
  <c r="D8" i="4"/>
  <c r="D7" i="4"/>
  <c r="D6" i="4"/>
  <c r="D9" i="3"/>
  <c r="C5" i="3"/>
  <c r="C4" i="2"/>
  <c r="D21" i="4" l="1"/>
  <c r="C15" i="13"/>
  <c r="D17" i="6"/>
  <c r="D4" i="7"/>
  <c r="C13" i="7"/>
  <c r="D5" i="3"/>
  <c r="C4" i="3"/>
  <c r="D7" i="7"/>
  <c r="D4" i="5"/>
  <c r="D4" i="8"/>
  <c r="C21" i="13" s="1"/>
  <c r="D28" i="6" l="1"/>
  <c r="D7" i="5"/>
  <c r="D13" i="7"/>
  <c r="D4" i="3"/>
  <c r="C20" i="13" l="1"/>
  <c r="C19" i="13"/>
  <c r="C16" i="13"/>
  <c r="C5" i="4"/>
  <c r="C21" i="4" s="1"/>
  <c r="C22" i="13" l="1"/>
  <c r="C23" i="13" s="1"/>
  <c r="C8" i="13" l="1"/>
  <c r="C7" i="13"/>
  <c r="C11" i="13" s="1"/>
</calcChain>
</file>

<file path=xl/sharedStrings.xml><?xml version="1.0" encoding="utf-8"?>
<sst xmlns="http://schemas.openxmlformats.org/spreadsheetml/2006/main" count="173" uniqueCount="136">
  <si>
    <t>Сумма в год</t>
  </si>
  <si>
    <t>Заработная плата штатных сотрудников (на руки)</t>
  </si>
  <si>
    <t>Налоги и отчисления в бюджет</t>
  </si>
  <si>
    <t>Оплата контрагентам</t>
  </si>
  <si>
    <t>Благоустройство территории СНТ</t>
  </si>
  <si>
    <t>Противопожарные мероприятия в СНТ</t>
  </si>
  <si>
    <t>Общие мероприятия и праздники для жителей</t>
  </si>
  <si>
    <t>Прочее</t>
  </si>
  <si>
    <t>Должность</t>
  </si>
  <si>
    <t>Сумма в месяц</t>
  </si>
  <si>
    <t>Председатель Правления СНТ</t>
  </si>
  <si>
    <t>ИТОГО:</t>
  </si>
  <si>
    <t>Вид налога/отчисления</t>
  </si>
  <si>
    <t>Налоги на заработную плату</t>
  </si>
  <si>
    <t>Отчисления в СФР</t>
  </si>
  <si>
    <t>Земельный налог ЗОП</t>
  </si>
  <si>
    <t>Вид платежа</t>
  </si>
  <si>
    <t>Обслуживание расчетных счетов СНТ</t>
  </si>
  <si>
    <t>Телекоммуникационная передача отчетности</t>
  </si>
  <si>
    <t>Бухгалтерское обслуживание (аутсорсинг)</t>
  </si>
  <si>
    <t>Поставка электроэнергии для нужд СНТ</t>
  </si>
  <si>
    <t>Вывоз твердых бытовых отходов</t>
  </si>
  <si>
    <t>Услуги нотариуса</t>
  </si>
  <si>
    <t>Аренда абонентского ящика в ОПС 301000</t>
  </si>
  <si>
    <t>Почтовые услуги по отправке корреспонденции</t>
  </si>
  <si>
    <t xml:space="preserve">Работы по благоустройству </t>
  </si>
  <si>
    <t>Вид работ</t>
  </si>
  <si>
    <t>Дорожное хозяйство</t>
  </si>
  <si>
    <t>Текущий ремонт дорог</t>
  </si>
  <si>
    <t>Очистка дорог от снега</t>
  </si>
  <si>
    <t>Посыпка противогололедными реагентами</t>
  </si>
  <si>
    <t>Закупка песчано-соляной смеси</t>
  </si>
  <si>
    <t>Наружное освещение</t>
  </si>
  <si>
    <t>Работы по установке фонарей</t>
  </si>
  <si>
    <t>Трамбовка мусора</t>
  </si>
  <si>
    <t>Уборка территории СНТ</t>
  </si>
  <si>
    <t>Прочие расходы на благоустройство</t>
  </si>
  <si>
    <t>Обеспечение противопожарной безопасности в СНТ</t>
  </si>
  <si>
    <t>Гидранты в водопроводных колодцах</t>
  </si>
  <si>
    <t>Замена неисправных гидрантов (закупка и замена)</t>
  </si>
  <si>
    <t>Прочие расходы на обеспечение пожарной безопасности</t>
  </si>
  <si>
    <t>Общие мероприятия и праздники</t>
  </si>
  <si>
    <t>Компенсация использования личного автомобиля и иных транспортных средств</t>
  </si>
  <si>
    <t>Компенсация использования садовой техники и инструментов</t>
  </si>
  <si>
    <t>в том числе НДФЛ</t>
  </si>
  <si>
    <t>ЕСН</t>
  </si>
  <si>
    <t>ЕСН на договоры ГПХ</t>
  </si>
  <si>
    <t>Комментарии</t>
  </si>
  <si>
    <t>Замена насоса, работы</t>
  </si>
  <si>
    <t>Замена насоса, материалы и оборудование</t>
  </si>
  <si>
    <t>Замена насоса</t>
  </si>
  <si>
    <t>Резерв под замену насоса (в размере стоимости замены насоса - работа + комплектующие)</t>
  </si>
  <si>
    <t>Резерв текущий</t>
  </si>
  <si>
    <t>Плановые работы на ВЗУ, ТО1, ТО2</t>
  </si>
  <si>
    <t>Аварийные работы на водопроводе</t>
  </si>
  <si>
    <t>Плановые работы на водопроводе (разбивка на участки)</t>
  </si>
  <si>
    <t>Материалы и комплектующие для водопровода</t>
  </si>
  <si>
    <t>Обслуживание сетей по договору ГПХ (в том числе НДФЛ 13%)</t>
  </si>
  <si>
    <t>Налог на договор ГПХ (ЕСН 30%)</t>
  </si>
  <si>
    <t>Резерв</t>
  </si>
  <si>
    <t>Электроэнергия</t>
  </si>
  <si>
    <t>Поддержка сайта</t>
  </si>
  <si>
    <t>Хостинг</t>
  </si>
  <si>
    <t>Покос</t>
  </si>
  <si>
    <t xml:space="preserve">Уборка и поддержание территории площадки </t>
  </si>
  <si>
    <t>Актуализация информации по реестру</t>
  </si>
  <si>
    <t>Непредвиденные расходы (штрафы, пени, выполнение постановлений контролирующих органов, прочее)</t>
  </si>
  <si>
    <t>Доставка щебня</t>
  </si>
  <si>
    <t>Материалы для электромонтажа линий освещения</t>
  </si>
  <si>
    <t>распределяется в доле 70/30</t>
  </si>
  <si>
    <t>Охранные услуги для подключенных к охранным комплексам</t>
  </si>
  <si>
    <t>Пошлины, пени, платежи</t>
  </si>
  <si>
    <t>Закупка бункера</t>
  </si>
  <si>
    <t>Покос обочин</t>
  </si>
  <si>
    <t>Обследование установленных гидрантов</t>
  </si>
  <si>
    <t>Канцтовары, оргтехника и расходные материалы</t>
  </si>
  <si>
    <t>Канцтовары</t>
  </si>
  <si>
    <t xml:space="preserve">Ноутбук и ПО </t>
  </si>
  <si>
    <t>Оплата мобильной связи</t>
  </si>
  <si>
    <t>Юридические услуги (юридическая поддержка и госпошлины)</t>
  </si>
  <si>
    <t>Обеспечение окоса обочин</t>
  </si>
  <si>
    <t>Работы по обслуживанию фонарей и линии</t>
  </si>
  <si>
    <t>в случае неиспользования средств экономия будет распределена решением правления СНТ</t>
  </si>
  <si>
    <t>Отпил сухих веток (кустарников и аварийных деревьев)</t>
  </si>
  <si>
    <t>Вознаграждение ревизионной комиссии</t>
  </si>
  <si>
    <t>Очистка/ремонт аварийных дренажных канав</t>
  </si>
  <si>
    <t>Обход территории и сбор мусора в мешки с доставкой на контейнерную площадку транспортом</t>
  </si>
  <si>
    <t>Обновление и изготоление новых информационных баннеров и табличек</t>
  </si>
  <si>
    <t>Установка табличек "ПГ"</t>
  </si>
  <si>
    <t>Запросы  и получение справок в государственных сервисах, госпошлины</t>
  </si>
  <si>
    <t>Смета доходов и расходов СНТ Твой дом на 2025 год (Приходно-расходная смета)</t>
  </si>
  <si>
    <t>Доходная часть</t>
  </si>
  <si>
    <t>№</t>
  </si>
  <si>
    <t>Наименование</t>
  </si>
  <si>
    <t>Сумма</t>
  </si>
  <si>
    <t>Членские взносы и плата граждан, ведущих садоводство на садовых земельных участках, расположенных в границах товарищества садоводства, без участия в товариществе (при собираемости 85%)</t>
  </si>
  <si>
    <t>Расходная часть</t>
  </si>
  <si>
    <t>Дополнительные статьи сметы</t>
  </si>
  <si>
    <t>Целевой взнос (плата)  газопровод</t>
  </si>
  <si>
    <t>Финансовая смета СНТ "Твой Дом" для расчета взносов членов СНТ и платы садоводов, не являющихся членами СНТ.</t>
  </si>
  <si>
    <t>Резерв средств на депозите</t>
  </si>
  <si>
    <t>Трубы для водоотведения и укладка</t>
  </si>
  <si>
    <t>Заработная плата штатных сотрудников (включая НДФЛ)</t>
  </si>
  <si>
    <t>Прочие административно-хозяйственные расзоды и материалы, непредвиденные расходы</t>
  </si>
  <si>
    <t>Доходная часть (целевой взнос/плата)</t>
  </si>
  <si>
    <t>Целевой взнос на оплату технического обслуживания газопровода для членов СНТ и лиц, ведущих индивидуальное садоводство на территории, расположенной в границах СНТ, заключивших договора с ООО «Газпром межрегионгаз Тула» на поставку природного газа.</t>
  </si>
  <si>
    <t>Целевой взнос (плата) водопровод (65 абонентов) в 2026 г. из расчета 10700,00 за участок. Доходная часть.</t>
  </si>
  <si>
    <t>Оплата технического обслуживания уличных сетей газопровода</t>
  </si>
  <si>
    <t>Остаток на 01.01.2026</t>
  </si>
  <si>
    <t>Оплата за поддержание работоспособности водопровода. Расходная часть за счет взносов 2026 г.</t>
  </si>
  <si>
    <t>Обслуживание расчетного счета СНТ (Сбер) и комиссии.</t>
  </si>
  <si>
    <t>Задолженность по взносам более 6 месяцев</t>
  </si>
  <si>
    <t>Доходы по договорам по предоставлении  третьим лицам права пользования имуществом СНТ (совместное содержание контейнерной площадки)</t>
  </si>
  <si>
    <t>Компенсация использования  имущества членов правления для целей обеспечения деятельности СНТ</t>
  </si>
  <si>
    <t>Хозяйственные расходы</t>
  </si>
  <si>
    <t>Печать материалов</t>
  </si>
  <si>
    <t>Услуги охраны</t>
  </si>
  <si>
    <t>Целевой взнос в Дорожный фонд СНТ</t>
  </si>
  <si>
    <t>Налог на доход по договорам совместного использования контейнерной площадкой</t>
  </si>
  <si>
    <t>Площадка ТБО</t>
  </si>
  <si>
    <t>Текущий ремонт и обслуживание замков/ворот</t>
  </si>
  <si>
    <t>Остаток средств за предыдущий период на 01.01.2025</t>
  </si>
  <si>
    <t>Членские взносы по которым есть риск недобора15%</t>
  </si>
  <si>
    <t>Обеспечение работоспособности сетей водоснабжения 
(для пользователей, подключенных к  сетям водоснабжения) в 2026 г.</t>
  </si>
  <si>
    <t>Необходимо собрать взносов ( всего 65 участков)</t>
  </si>
  <si>
    <t xml:space="preserve">Целевой взнос с 1 участка в 2026г. </t>
  </si>
  <si>
    <t>Спил аварийных деревьев на обочинах</t>
  </si>
  <si>
    <t>Итого расходная часть</t>
  </si>
  <si>
    <r>
      <t>Итого необходимо собрать членских  взносов и платы садоводов, с учетом доходной части
(</t>
    </r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charset val="204"/>
        <scheme val="minor"/>
      </rPr>
      <t xml:space="preserve"> ЧВ=Расходная часть -доходы по договорам-остаток за предыдущий период)</t>
    </r>
  </si>
  <si>
    <t>Дополнительная часть членского взноса /платы на возмещение стоимости  охранных услуги для пользователей подключенных к охранным комплексам ЧОП Илион</t>
  </si>
  <si>
    <t>Итого доходная часть с учетом остатка прошлого периода</t>
  </si>
  <si>
    <t>Новый год, 9 мая, Летний праздник</t>
  </si>
  <si>
    <t>Целевой взнос на поддержание работоспособности водопровода (начисляется собственникам, имеющим подключения к сетям водораспределения)</t>
  </si>
  <si>
    <t>Целевой взнос на выполнение и финансирование комплексных кадастровых работ и межевания территории  СНТ Твой дом</t>
  </si>
  <si>
    <t>Целевой взнос (плата) кадастровые работы</t>
  </si>
  <si>
    <t>Оплата кадастровыз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</si>
</sst>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[$₽-419]_-;\-* #,##0.00[$₽-419]_-;_-* &quot;-&quot;??[$₽-419]_-;_-@_-"/>
    <numFmt numFmtId="165" formatCode="_-* #,##0.00\ [$₽-419]_-;\-* #,##0.00\ [$₽-419]_-;_-* &quot;-&quot;??\ [$₽-419]_-;_-@_-"/>
    <numFmt numFmtId="166" formatCode="#,##0\ _₽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2" tint="-0.249977111117893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3" borderId="1" xfId="0" applyFont="1" applyFill="1" applyBorder="1">
      <alignment vertical="center"/>
    </xf>
    <xf numFmtId="164" fontId="0" fillId="0" borderId="1" xfId="0" applyNumberFormat="1" applyBorder="1">
      <alignment vertical="center"/>
    </xf>
    <xf numFmtId="0" fontId="8" fillId="0" borderId="1" xfId="0" applyFont="1" applyBorder="1">
      <alignment vertical="center"/>
    </xf>
    <xf numFmtId="164" fontId="8" fillId="0" borderId="1" xfId="0" applyNumberFormat="1" applyFont="1" applyBorder="1">
      <alignment vertical="center"/>
    </xf>
    <xf numFmtId="0" fontId="8" fillId="0" borderId="2" xfId="0" applyFont="1" applyBorder="1">
      <alignment vertical="center"/>
    </xf>
    <xf numFmtId="164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164" fontId="8" fillId="0" borderId="2" xfId="0" applyNumberFormat="1" applyFont="1" applyBorder="1">
      <alignment vertical="center"/>
    </xf>
    <xf numFmtId="164" fontId="0" fillId="0" borderId="2" xfId="0" applyNumberFormat="1" applyBorder="1">
      <alignment vertical="center"/>
    </xf>
    <xf numFmtId="164" fontId="0" fillId="0" borderId="0" xfId="0" applyNumberFormat="1">
      <alignment vertical="center"/>
    </xf>
    <xf numFmtId="164" fontId="6" fillId="3" borderId="1" xfId="0" applyNumberFormat="1" applyFont="1" applyFill="1" applyBorder="1">
      <alignment vertical="center"/>
    </xf>
    <xf numFmtId="164" fontId="9" fillId="3" borderId="0" xfId="0" applyNumberFormat="1" applyFont="1" applyFill="1">
      <alignment vertical="center"/>
    </xf>
    <xf numFmtId="0" fontId="0" fillId="0" borderId="1" xfId="0" applyBorder="1">
      <alignment vertical="center"/>
    </xf>
    <xf numFmtId="0" fontId="8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/>
    </xf>
    <xf numFmtId="164" fontId="8" fillId="0" borderId="0" xfId="0" applyNumberFormat="1" applyFont="1" applyBorder="1">
      <alignment vertical="center"/>
    </xf>
    <xf numFmtId="165" fontId="0" fillId="0" borderId="1" xfId="0" applyNumberFormat="1" applyBorder="1" applyAlignment="1">
      <alignment vertical="center"/>
    </xf>
    <xf numFmtId="0" fontId="11" fillId="0" borderId="1" xfId="0" applyFont="1" applyBorder="1" applyAlignment="1"/>
    <xf numFmtId="164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0" fillId="0" borderId="3" xfId="0" applyBorder="1" applyAlignment="1">
      <alignment vertical="center"/>
    </xf>
    <xf numFmtId="164" fontId="0" fillId="3" borderId="1" xfId="0" applyNumberFormat="1" applyFill="1" applyBorder="1">
      <alignment vertical="center"/>
    </xf>
    <xf numFmtId="0" fontId="0" fillId="0" borderId="1" xfId="0" applyFill="1" applyBorder="1" applyAlignment="1">
      <alignment vertical="center"/>
    </xf>
    <xf numFmtId="164" fontId="8" fillId="0" borderId="2" xfId="0" applyNumberFormat="1" applyFont="1" applyFill="1" applyBorder="1">
      <alignment vertical="center"/>
    </xf>
    <xf numFmtId="164" fontId="8" fillId="0" borderId="1" xfId="0" applyNumberFormat="1" applyFont="1" applyFill="1" applyBorder="1">
      <alignment vertical="center"/>
    </xf>
    <xf numFmtId="165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164" fontId="5" fillId="0" borderId="1" xfId="0" applyNumberFormat="1" applyFont="1" applyBorder="1">
      <alignment vertical="center"/>
    </xf>
    <xf numFmtId="0" fontId="9" fillId="3" borderId="0" xfId="0" applyNumberFormat="1" applyFont="1" applyFill="1">
      <alignment vertical="center"/>
    </xf>
    <xf numFmtId="0" fontId="5" fillId="0" borderId="1" xfId="0" applyFont="1" applyBorder="1" applyAlignment="1"/>
    <xf numFmtId="0" fontId="5" fillId="0" borderId="3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0" fillId="0" borderId="1" xfId="0" applyBorder="1" applyAlignment="1"/>
    <xf numFmtId="0" fontId="6" fillId="0" borderId="1" xfId="0" applyFont="1" applyBorder="1" applyAlignment="1"/>
    <xf numFmtId="166" fontId="0" fillId="0" borderId="1" xfId="0" applyNumberFormat="1" applyBorder="1" applyAlignment="1"/>
    <xf numFmtId="0" fontId="4" fillId="0" borderId="1" xfId="0" applyFont="1" applyBorder="1" applyAlignment="1">
      <alignment wrapText="1"/>
    </xf>
    <xf numFmtId="166" fontId="6" fillId="0" borderId="1" xfId="0" applyNumberFormat="1" applyFont="1" applyBorder="1" applyAlignment="1"/>
    <xf numFmtId="0" fontId="4" fillId="0" borderId="1" xfId="0" applyFont="1" applyBorder="1" applyAlignment="1"/>
    <xf numFmtId="0" fontId="0" fillId="0" borderId="1" xfId="0" applyFont="1" applyBorder="1" applyAlignment="1"/>
    <xf numFmtId="0" fontId="0" fillId="0" borderId="0" xfId="0" applyAlignment="1"/>
    <xf numFmtId="0" fontId="0" fillId="0" borderId="6" xfId="0" applyFont="1" applyBorder="1" applyAlignment="1"/>
    <xf numFmtId="164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horizontal="right" wrapText="1"/>
    </xf>
    <xf numFmtId="165" fontId="12" fillId="0" borderId="1" xfId="0" applyNumberFormat="1" applyFont="1" applyBorder="1" applyAlignment="1">
      <alignment horizontal="right" vertical="center"/>
    </xf>
    <xf numFmtId="166" fontId="0" fillId="0" borderId="4" xfId="0" applyNumberFormat="1" applyBorder="1" applyAlignment="1"/>
    <xf numFmtId="0" fontId="4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164" fontId="6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wrapText="1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165" fontId="0" fillId="0" borderId="0" xfId="0" applyNumberFormat="1" applyBorder="1">
      <alignment vertical="center"/>
    </xf>
    <xf numFmtId="0" fontId="6" fillId="0" borderId="1" xfId="0" applyFont="1" applyBorder="1">
      <alignment vertical="center"/>
    </xf>
    <xf numFmtId="165" fontId="6" fillId="0" borderId="1" xfId="0" applyNumberFormat="1" applyFont="1" applyBorder="1" applyAlignment="1"/>
    <xf numFmtId="166" fontId="0" fillId="0" borderId="8" xfId="0" applyNumberFormat="1" applyBorder="1" applyAlignment="1"/>
    <xf numFmtId="0" fontId="0" fillId="0" borderId="1" xfId="0" applyBorder="1" applyAlignment="1">
      <alignment wrapText="1"/>
    </xf>
    <xf numFmtId="0" fontId="10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7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64" fontId="6" fillId="0" borderId="4" xfId="0" applyNumberFormat="1" applyFont="1" applyBorder="1">
      <alignment vertical="center"/>
    </xf>
    <xf numFmtId="0" fontId="1" fillId="0" borderId="1" xfId="0" applyFont="1" applyBorder="1" applyAlignment="1"/>
    <xf numFmtId="164" fontId="1" fillId="0" borderId="4" xfId="0" applyNumberFormat="1" applyFont="1" applyBorder="1">
      <alignment vertical="center"/>
    </xf>
    <xf numFmtId="166" fontId="1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907B-AB04-4138-8A6E-435BADE66E19}">
  <sheetPr>
    <tabColor theme="9"/>
  </sheetPr>
  <dimension ref="A1:I47"/>
  <sheetViews>
    <sheetView tabSelected="1" topLeftCell="A30" workbookViewId="0">
      <selection activeCell="B45" sqref="B45"/>
    </sheetView>
  </sheetViews>
  <sheetFormatPr defaultRowHeight="14.5"/>
  <cols>
    <col min="2" max="2" width="83.36328125" customWidth="1"/>
    <col min="3" max="3" width="18.7265625" customWidth="1"/>
    <col min="4" max="4" width="14" bestFit="1" customWidth="1"/>
  </cols>
  <sheetData>
    <row r="1" spans="1:9" ht="18.5">
      <c r="A1" s="74" t="s">
        <v>99</v>
      </c>
      <c r="B1" s="74"/>
      <c r="C1" s="74"/>
      <c r="D1" s="74"/>
      <c r="E1" s="74"/>
      <c r="F1" s="74"/>
      <c r="G1" s="74"/>
      <c r="H1" s="74"/>
      <c r="I1" s="74"/>
    </row>
    <row r="3" spans="1:9">
      <c r="A3" s="75" t="s">
        <v>90</v>
      </c>
      <c r="B3" s="75"/>
      <c r="C3" s="75"/>
    </row>
    <row r="4" spans="1:9" ht="12" customHeight="1">
      <c r="A4" s="41"/>
      <c r="B4" s="53" t="s">
        <v>100</v>
      </c>
      <c r="C4" s="54">
        <v>1500000</v>
      </c>
    </row>
    <row r="5" spans="1:9">
      <c r="A5" s="42"/>
      <c r="B5" s="43" t="s">
        <v>91</v>
      </c>
      <c r="C5" s="44"/>
    </row>
    <row r="6" spans="1:9">
      <c r="A6" s="42" t="s">
        <v>92</v>
      </c>
      <c r="B6" s="42" t="s">
        <v>93</v>
      </c>
      <c r="C6" s="44" t="s">
        <v>94</v>
      </c>
    </row>
    <row r="7" spans="1:9" ht="48" customHeight="1">
      <c r="A7" s="42">
        <v>1</v>
      </c>
      <c r="B7" s="45" t="s">
        <v>95</v>
      </c>
      <c r="C7" s="3">
        <f>C23*85%</f>
        <v>6530626.4795999993</v>
      </c>
    </row>
    <row r="8" spans="1:9">
      <c r="A8" s="42">
        <v>2</v>
      </c>
      <c r="B8" s="64" t="s">
        <v>122</v>
      </c>
      <c r="C8" s="3">
        <f>C23*15%</f>
        <v>1152463.4963999998</v>
      </c>
    </row>
    <row r="9" spans="1:9" ht="31.5" customHeight="1">
      <c r="A9" s="42">
        <v>3</v>
      </c>
      <c r="B9" s="45" t="s">
        <v>112</v>
      </c>
      <c r="C9" s="3">
        <v>30000</v>
      </c>
    </row>
    <row r="10" spans="1:9" ht="20" customHeight="1">
      <c r="A10" s="42">
        <v>4</v>
      </c>
      <c r="B10" s="62" t="s">
        <v>121</v>
      </c>
      <c r="C10" s="63">
        <v>1371480.02</v>
      </c>
    </row>
    <row r="11" spans="1:9">
      <c r="A11" s="43"/>
      <c r="B11" s="43" t="s">
        <v>130</v>
      </c>
      <c r="C11" s="61">
        <f>(SUM(C7:C10))</f>
        <v>9084569.9959999993</v>
      </c>
      <c r="D11" s="31"/>
    </row>
    <row r="12" spans="1:9">
      <c r="A12" s="49"/>
      <c r="B12" s="49"/>
      <c r="C12" s="55"/>
    </row>
    <row r="13" spans="1:9">
      <c r="A13" s="42"/>
      <c r="B13" s="43" t="s">
        <v>96</v>
      </c>
      <c r="C13" s="44"/>
    </row>
    <row r="14" spans="1:9">
      <c r="A14" s="42" t="s">
        <v>92</v>
      </c>
      <c r="B14" s="42" t="s">
        <v>93</v>
      </c>
      <c r="C14" s="44" t="s">
        <v>94</v>
      </c>
    </row>
    <row r="15" spans="1:9" ht="16" customHeight="1">
      <c r="A15" s="42">
        <v>1</v>
      </c>
      <c r="B15" s="14" t="s">
        <v>3</v>
      </c>
      <c r="C15" s="3">
        <f>'Оплата контрагентам'!D21</f>
        <v>3400670</v>
      </c>
    </row>
    <row r="16" spans="1:9" ht="16" customHeight="1">
      <c r="A16" s="42">
        <v>2</v>
      </c>
      <c r="B16" s="14" t="s">
        <v>4</v>
      </c>
      <c r="C16" s="3">
        <f>Благоустройство!D28</f>
        <v>3583140</v>
      </c>
    </row>
    <row r="17" spans="1:3" ht="14.5" customHeight="1">
      <c r="A17" s="42">
        <v>3</v>
      </c>
      <c r="B17" s="52" t="s">
        <v>102</v>
      </c>
      <c r="C17" s="3">
        <f>'Заработная плата'!C6</f>
        <v>600000</v>
      </c>
    </row>
    <row r="18" spans="1:3">
      <c r="A18" s="42">
        <v>4</v>
      </c>
      <c r="B18" s="14" t="s">
        <v>2</v>
      </c>
      <c r="C18" s="3">
        <f>'Налоги и отчисления'!D11</f>
        <v>441600</v>
      </c>
    </row>
    <row r="19" spans="1:3">
      <c r="A19" s="42">
        <v>5</v>
      </c>
      <c r="B19" s="14" t="s">
        <v>5</v>
      </c>
      <c r="C19" s="3">
        <f>'Противопожарные мероприятия'!D13</f>
        <v>384000</v>
      </c>
    </row>
    <row r="20" spans="1:3">
      <c r="A20" s="42">
        <v>6</v>
      </c>
      <c r="B20" s="14" t="s">
        <v>6</v>
      </c>
      <c r="C20" s="3">
        <f>'Мероприятия и праздники'!D7</f>
        <v>191199.99600000001</v>
      </c>
    </row>
    <row r="21" spans="1:3">
      <c r="A21" s="42">
        <v>7</v>
      </c>
      <c r="B21" s="52" t="s">
        <v>103</v>
      </c>
      <c r="C21" s="3">
        <f>Прочее!D16</f>
        <v>483960</v>
      </c>
    </row>
    <row r="22" spans="1:3">
      <c r="A22" s="43"/>
      <c r="B22" s="43" t="s">
        <v>127</v>
      </c>
      <c r="C22" s="61">
        <f>SUM(C15:C21)</f>
        <v>9084569.9959999993</v>
      </c>
    </row>
    <row r="23" spans="1:3" ht="28.5" customHeight="1">
      <c r="A23" s="42"/>
      <c r="B23" s="59" t="s">
        <v>128</v>
      </c>
      <c r="C23" s="71">
        <f>C22-C9-C10</f>
        <v>7683089.9759999998</v>
      </c>
    </row>
    <row r="24" spans="1:3">
      <c r="A24" s="49"/>
      <c r="B24" s="49"/>
      <c r="C24" s="72"/>
    </row>
    <row r="25" spans="1:3" ht="29">
      <c r="A25" s="42">
        <v>8</v>
      </c>
      <c r="B25" s="73" t="s">
        <v>129</v>
      </c>
      <c r="C25" s="3">
        <v>360000</v>
      </c>
    </row>
    <row r="26" spans="1:3">
      <c r="A26" s="42"/>
      <c r="B26" s="42"/>
      <c r="C26" s="44"/>
    </row>
    <row r="27" spans="1:3">
      <c r="A27" s="42"/>
      <c r="B27" s="42"/>
      <c r="C27" s="44"/>
    </row>
    <row r="28" spans="1:3">
      <c r="A28" s="42"/>
      <c r="B28" s="43" t="s">
        <v>97</v>
      </c>
      <c r="C28" s="44"/>
    </row>
    <row r="29" spans="1:3">
      <c r="A29" s="43">
        <v>1</v>
      </c>
      <c r="B29" s="43" t="s">
        <v>117</v>
      </c>
      <c r="C29" s="44"/>
    </row>
    <row r="30" spans="1:3">
      <c r="A30" s="42"/>
      <c r="B30" s="47" t="s">
        <v>104</v>
      </c>
      <c r="C30" s="61">
        <f>7000*365</f>
        <v>2555000</v>
      </c>
    </row>
    <row r="31" spans="1:3">
      <c r="A31" s="43"/>
      <c r="B31" s="48" t="s">
        <v>96</v>
      </c>
      <c r="C31" s="3">
        <f>C30</f>
        <v>2555000</v>
      </c>
    </row>
    <row r="32" spans="1:3" ht="9" customHeight="1">
      <c r="A32" s="49"/>
      <c r="B32" s="49"/>
      <c r="C32" s="55"/>
    </row>
    <row r="33" spans="1:3" ht="31" customHeight="1">
      <c r="A33" s="43">
        <v>2</v>
      </c>
      <c r="B33" s="41" t="s">
        <v>132</v>
      </c>
      <c r="C33" s="46"/>
    </row>
    <row r="34" spans="1:3" ht="29">
      <c r="A34" s="43"/>
      <c r="B34" s="45" t="s">
        <v>106</v>
      </c>
      <c r="C34" s="61">
        <v>695500</v>
      </c>
    </row>
    <row r="35" spans="1:3" ht="29">
      <c r="A35" s="42"/>
      <c r="B35" s="45" t="s">
        <v>109</v>
      </c>
      <c r="C35" s="3">
        <f>65*10700</f>
        <v>695500</v>
      </c>
    </row>
    <row r="36" spans="1:3" ht="9.5" customHeight="1">
      <c r="A36" s="49"/>
      <c r="B36" s="49"/>
      <c r="C36" s="55"/>
    </row>
    <row r="37" spans="1:3" ht="47" customHeight="1">
      <c r="A37" s="43">
        <v>3</v>
      </c>
      <c r="B37" s="41" t="s">
        <v>105</v>
      </c>
      <c r="C37" s="46"/>
    </row>
    <row r="38" spans="1:3">
      <c r="A38" s="49"/>
      <c r="B38" s="50" t="s">
        <v>91</v>
      </c>
      <c r="C38" s="44"/>
    </row>
    <row r="39" spans="1:3">
      <c r="A39" s="42"/>
      <c r="B39" s="42" t="s">
        <v>98</v>
      </c>
      <c r="C39" s="44">
        <f>83*1530</f>
        <v>126990</v>
      </c>
    </row>
    <row r="40" spans="1:3">
      <c r="A40" s="49"/>
      <c r="B40" s="48" t="s">
        <v>96</v>
      </c>
      <c r="C40" s="44"/>
    </row>
    <row r="41" spans="1:3">
      <c r="A41" s="42"/>
      <c r="B41" s="47" t="s">
        <v>107</v>
      </c>
      <c r="C41" s="44">
        <f>83*1530</f>
        <v>126990</v>
      </c>
    </row>
    <row r="42" spans="1:3" ht="6" customHeight="1">
      <c r="A42" s="42"/>
      <c r="B42" s="47"/>
      <c r="C42" s="55"/>
    </row>
    <row r="43" spans="1:3" ht="29">
      <c r="A43" s="43">
        <v>4</v>
      </c>
      <c r="B43" s="41" t="s">
        <v>133</v>
      </c>
      <c r="C43" s="98">
        <v>255500</v>
      </c>
    </row>
    <row r="44" spans="1:3">
      <c r="A44" s="49"/>
      <c r="B44" s="50" t="s">
        <v>91</v>
      </c>
      <c r="C44" s="44"/>
    </row>
    <row r="45" spans="1:3">
      <c r="A45" s="42"/>
      <c r="B45" s="99" t="s">
        <v>134</v>
      </c>
      <c r="C45" s="100">
        <v>255500</v>
      </c>
    </row>
    <row r="46" spans="1:3">
      <c r="A46" s="49"/>
      <c r="B46" s="48" t="s">
        <v>96</v>
      </c>
      <c r="C46" s="101"/>
    </row>
    <row r="47" spans="1:3">
      <c r="A47" s="42"/>
      <c r="B47" s="99" t="s">
        <v>135</v>
      </c>
      <c r="C47" s="100">
        <v>255500</v>
      </c>
    </row>
  </sheetData>
  <mergeCells count="2">
    <mergeCell ref="A1:I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showGridLines="0" workbookViewId="0">
      <selection activeCell="E16" sqref="E16"/>
    </sheetView>
  </sheetViews>
  <sheetFormatPr defaultColWidth="9" defaultRowHeight="14.5"/>
  <cols>
    <col min="1" max="1" width="4.26953125" customWidth="1"/>
    <col min="2" max="2" width="42.26953125" customWidth="1"/>
    <col min="3" max="3" width="16.1796875" customWidth="1"/>
    <col min="4" max="4" width="17.453125" customWidth="1"/>
    <col min="5" max="5" width="28.6328125" customWidth="1"/>
  </cols>
  <sheetData>
    <row r="1" spans="1:5" ht="18.5">
      <c r="A1" s="76" t="s">
        <v>3</v>
      </c>
      <c r="B1" s="76"/>
      <c r="C1" s="76"/>
      <c r="D1" s="76"/>
    </row>
    <row r="3" spans="1:5" s="1" customFormat="1">
      <c r="A3" s="77" t="s">
        <v>16</v>
      </c>
      <c r="B3" s="77"/>
      <c r="C3" s="2" t="s">
        <v>9</v>
      </c>
      <c r="D3" s="2" t="s">
        <v>0</v>
      </c>
      <c r="E3" s="2" t="s">
        <v>47</v>
      </c>
    </row>
    <row r="4" spans="1:5">
      <c r="B4" s="57" t="s">
        <v>110</v>
      </c>
      <c r="C4" s="51">
        <v>1572.5</v>
      </c>
      <c r="D4" s="3">
        <f>C4*12</f>
        <v>18870</v>
      </c>
      <c r="E4" s="14"/>
    </row>
    <row r="5" spans="1:5">
      <c r="B5" s="18" t="s">
        <v>18</v>
      </c>
      <c r="C5" s="3">
        <f>D5/12</f>
        <v>833.33333333333337</v>
      </c>
      <c r="D5" s="3">
        <v>10000</v>
      </c>
      <c r="E5" s="14"/>
    </row>
    <row r="6" spans="1:5">
      <c r="B6" s="18" t="s">
        <v>19</v>
      </c>
      <c r="C6" s="3">
        <v>30000</v>
      </c>
      <c r="D6" s="3">
        <f t="shared" ref="D6:D12" si="0">C6*12</f>
        <v>360000</v>
      </c>
      <c r="E6" s="14"/>
    </row>
    <row r="7" spans="1:5">
      <c r="B7" s="58" t="s">
        <v>116</v>
      </c>
      <c r="C7" s="3">
        <v>70000</v>
      </c>
      <c r="D7" s="3">
        <f t="shared" si="0"/>
        <v>840000</v>
      </c>
      <c r="E7" s="34" t="s">
        <v>69</v>
      </c>
    </row>
    <row r="8" spans="1:5">
      <c r="B8" s="26" t="s">
        <v>20</v>
      </c>
      <c r="C8" s="3">
        <v>18000</v>
      </c>
      <c r="D8" s="3">
        <f t="shared" si="0"/>
        <v>216000</v>
      </c>
      <c r="E8" s="14"/>
    </row>
    <row r="9" spans="1:5">
      <c r="B9" s="26" t="s">
        <v>21</v>
      </c>
      <c r="C9" s="3">
        <v>123000</v>
      </c>
      <c r="D9" s="3">
        <f t="shared" si="0"/>
        <v>1476000</v>
      </c>
      <c r="E9" s="14"/>
    </row>
    <row r="10" spans="1:5">
      <c r="B10" s="39" t="s">
        <v>79</v>
      </c>
      <c r="C10" s="3">
        <v>28333</v>
      </c>
      <c r="D10" s="3">
        <f>ROUNDUP((C10*12),-2)</f>
        <v>340000</v>
      </c>
      <c r="E10" s="14"/>
    </row>
    <row r="11" spans="1:5">
      <c r="B11" s="26" t="s">
        <v>22</v>
      </c>
      <c r="C11" s="3">
        <v>1250</v>
      </c>
      <c r="D11" s="3">
        <f t="shared" si="0"/>
        <v>15000</v>
      </c>
      <c r="E11" s="14"/>
    </row>
    <row r="12" spans="1:5">
      <c r="B12" s="26" t="s">
        <v>23</v>
      </c>
      <c r="C12" s="3">
        <v>1500</v>
      </c>
      <c r="D12" s="3">
        <f t="shared" si="0"/>
        <v>18000</v>
      </c>
      <c r="E12" s="14"/>
    </row>
    <row r="13" spans="1:5">
      <c r="B13" s="26" t="s">
        <v>24</v>
      </c>
      <c r="C13" s="3">
        <v>900</v>
      </c>
      <c r="D13" s="3">
        <f t="shared" ref="D13" si="1">C13*12</f>
        <v>10800</v>
      </c>
      <c r="E13" s="14"/>
    </row>
    <row r="14" spans="1:5">
      <c r="B14" s="18" t="s">
        <v>61</v>
      </c>
      <c r="C14" s="3">
        <v>1000</v>
      </c>
      <c r="D14" s="3">
        <f t="shared" ref="D14:D19" si="2">C14*12</f>
        <v>12000</v>
      </c>
      <c r="E14" s="14"/>
    </row>
    <row r="15" spans="1:5">
      <c r="B15" s="26" t="s">
        <v>62</v>
      </c>
      <c r="C15" s="3">
        <v>2100</v>
      </c>
      <c r="D15" s="3">
        <f t="shared" si="2"/>
        <v>25200</v>
      </c>
      <c r="E15" s="14"/>
    </row>
    <row r="16" spans="1:5">
      <c r="B16" s="39" t="s">
        <v>84</v>
      </c>
      <c r="C16" s="3">
        <v>1700</v>
      </c>
      <c r="D16" s="3">
        <f t="shared" si="2"/>
        <v>20400</v>
      </c>
      <c r="E16" s="14"/>
    </row>
    <row r="17" spans="1:5">
      <c r="B17" s="14" t="s">
        <v>65</v>
      </c>
      <c r="C17" s="3">
        <v>1000</v>
      </c>
      <c r="D17" s="3">
        <f t="shared" si="2"/>
        <v>12000</v>
      </c>
      <c r="E17" s="14"/>
    </row>
    <row r="18" spans="1:5">
      <c r="B18" s="39" t="s">
        <v>89</v>
      </c>
      <c r="C18" s="3">
        <v>2200</v>
      </c>
      <c r="D18" s="3">
        <f t="shared" si="2"/>
        <v>26400</v>
      </c>
      <c r="E18" s="14"/>
    </row>
    <row r="19" spans="1:5">
      <c r="A19" s="18"/>
      <c r="B19" s="18" t="s">
        <v>70</v>
      </c>
      <c r="C19" s="3">
        <v>30000</v>
      </c>
      <c r="D19" s="3">
        <f t="shared" si="2"/>
        <v>360000</v>
      </c>
      <c r="E19" s="14"/>
    </row>
    <row r="20" spans="1:5" ht="7" customHeight="1">
      <c r="C20" s="11"/>
      <c r="D20" s="11"/>
    </row>
    <row r="21" spans="1:5">
      <c r="A21" s="77" t="s">
        <v>11</v>
      </c>
      <c r="B21" s="77"/>
      <c r="C21" s="12">
        <f>SUM(C4:C18)</f>
        <v>283388.83333333331</v>
      </c>
      <c r="D21" s="12">
        <f>SUM(D4:D18)</f>
        <v>3400670</v>
      </c>
    </row>
    <row r="22" spans="1:5">
      <c r="A22" t="s">
        <v>11</v>
      </c>
    </row>
  </sheetData>
  <mergeCells count="3">
    <mergeCell ref="A1:D1"/>
    <mergeCell ref="A3:B3"/>
    <mergeCell ref="A21:B2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showGridLines="0" topLeftCell="A6" workbookViewId="0">
      <selection activeCell="B20" sqref="B20"/>
    </sheetView>
  </sheetViews>
  <sheetFormatPr defaultColWidth="9" defaultRowHeight="14.5"/>
  <cols>
    <col min="1" max="1" width="3.90625" customWidth="1"/>
    <col min="2" max="2" width="55.36328125" customWidth="1"/>
    <col min="3" max="3" width="16" customWidth="1"/>
    <col min="4" max="4" width="16.36328125" customWidth="1"/>
  </cols>
  <sheetData>
    <row r="1" spans="1:5" ht="18.5">
      <c r="A1" s="76" t="s">
        <v>25</v>
      </c>
      <c r="B1" s="76"/>
      <c r="C1" s="76"/>
      <c r="D1" s="76"/>
    </row>
    <row r="3" spans="1:5">
      <c r="A3" s="77" t="s">
        <v>26</v>
      </c>
      <c r="B3" s="77"/>
      <c r="C3" s="2" t="s">
        <v>9</v>
      </c>
      <c r="D3" s="2" t="s">
        <v>0</v>
      </c>
    </row>
    <row r="4" spans="1:5">
      <c r="A4" s="78" t="s">
        <v>27</v>
      </c>
      <c r="B4" s="78"/>
      <c r="C4" s="27">
        <f>SUM(C5:C12)</f>
        <v>158865</v>
      </c>
      <c r="D4" s="27">
        <f t="shared" ref="D4:D12" si="0">C4*12</f>
        <v>1906380</v>
      </c>
    </row>
    <row r="5" spans="1:5">
      <c r="B5" s="4" t="s">
        <v>28</v>
      </c>
      <c r="C5" s="5">
        <v>34000</v>
      </c>
      <c r="D5" s="5">
        <f t="shared" si="0"/>
        <v>408000</v>
      </c>
    </row>
    <row r="6" spans="1:5">
      <c r="B6" s="4" t="s">
        <v>67</v>
      </c>
      <c r="C6" s="5">
        <v>31300</v>
      </c>
      <c r="D6" s="5">
        <f>C6*12</f>
        <v>375600</v>
      </c>
    </row>
    <row r="7" spans="1:5">
      <c r="B7" s="4" t="s">
        <v>29</v>
      </c>
      <c r="C7" s="5">
        <v>47000</v>
      </c>
      <c r="D7" s="5">
        <f t="shared" si="0"/>
        <v>564000</v>
      </c>
    </row>
    <row r="8" spans="1:5">
      <c r="B8" s="4" t="s">
        <v>30</v>
      </c>
      <c r="C8" s="5">
        <v>6500</v>
      </c>
      <c r="D8" s="5">
        <f t="shared" si="0"/>
        <v>78000</v>
      </c>
    </row>
    <row r="9" spans="1:5">
      <c r="B9" s="4" t="s">
        <v>85</v>
      </c>
      <c r="C9" s="5">
        <v>7000</v>
      </c>
      <c r="D9" s="5">
        <f t="shared" si="0"/>
        <v>84000</v>
      </c>
    </row>
    <row r="10" spans="1:5">
      <c r="B10" s="8" t="s">
        <v>101</v>
      </c>
      <c r="C10" s="9">
        <v>25000</v>
      </c>
      <c r="D10" s="5">
        <f t="shared" si="0"/>
        <v>300000</v>
      </c>
    </row>
    <row r="11" spans="1:5">
      <c r="B11" s="8" t="s">
        <v>126</v>
      </c>
      <c r="C11" s="9">
        <v>5225</v>
      </c>
      <c r="D11" s="5">
        <f t="shared" si="0"/>
        <v>62700</v>
      </c>
      <c r="E11" s="35"/>
    </row>
    <row r="12" spans="1:5">
      <c r="B12" s="6" t="s">
        <v>31</v>
      </c>
      <c r="C12" s="7">
        <v>2840</v>
      </c>
      <c r="D12" s="5">
        <f t="shared" si="0"/>
        <v>34080</v>
      </c>
    </row>
    <row r="13" spans="1:5">
      <c r="A13" s="78" t="s">
        <v>32</v>
      </c>
      <c r="B13" s="78"/>
      <c r="C13" s="27">
        <f>SUM(C14:C16)</f>
        <v>58530</v>
      </c>
      <c r="D13" s="27">
        <f t="shared" ref="D13:D26" si="1">C13*12</f>
        <v>702360</v>
      </c>
    </row>
    <row r="14" spans="1:5">
      <c r="B14" s="4" t="s">
        <v>33</v>
      </c>
      <c r="C14" s="5">
        <v>25000</v>
      </c>
      <c r="D14" s="5">
        <f t="shared" si="1"/>
        <v>300000</v>
      </c>
    </row>
    <row r="15" spans="1:5">
      <c r="B15" s="8" t="s">
        <v>68</v>
      </c>
      <c r="C15" s="9">
        <v>28000</v>
      </c>
      <c r="D15" s="5">
        <f t="shared" si="1"/>
        <v>336000</v>
      </c>
    </row>
    <row r="16" spans="1:5">
      <c r="B16" s="8" t="s">
        <v>81</v>
      </c>
      <c r="C16" s="9">
        <v>5530</v>
      </c>
      <c r="D16" s="5">
        <f t="shared" ref="D16" si="2">C16*12</f>
        <v>66360</v>
      </c>
    </row>
    <row r="17" spans="1:4">
      <c r="A17" s="81" t="s">
        <v>119</v>
      </c>
      <c r="B17" s="78"/>
      <c r="C17" s="27">
        <f>SUM(C18:C21)</f>
        <v>53100</v>
      </c>
      <c r="D17" s="27">
        <f t="shared" si="1"/>
        <v>637200</v>
      </c>
    </row>
    <row r="18" spans="1:4">
      <c r="B18" s="4" t="s">
        <v>64</v>
      </c>
      <c r="C18" s="5">
        <v>24500</v>
      </c>
      <c r="D18" s="5">
        <f t="shared" si="1"/>
        <v>294000</v>
      </c>
    </row>
    <row r="19" spans="1:4">
      <c r="B19" s="4" t="s">
        <v>34</v>
      </c>
      <c r="C19" s="5">
        <v>16500</v>
      </c>
      <c r="D19" s="5">
        <f t="shared" si="1"/>
        <v>198000</v>
      </c>
    </row>
    <row r="20" spans="1:4">
      <c r="B20" s="8" t="s">
        <v>63</v>
      </c>
      <c r="C20" s="9">
        <v>5000</v>
      </c>
      <c r="D20" s="5">
        <f t="shared" si="1"/>
        <v>60000</v>
      </c>
    </row>
    <row r="21" spans="1:4">
      <c r="B21" s="8" t="s">
        <v>72</v>
      </c>
      <c r="C21" s="9">
        <v>7100</v>
      </c>
      <c r="D21" s="5">
        <f t="shared" si="1"/>
        <v>85200</v>
      </c>
    </row>
    <row r="22" spans="1:4">
      <c r="A22" s="78" t="s">
        <v>35</v>
      </c>
      <c r="B22" s="78"/>
      <c r="C22" s="27">
        <f>SUM(C23:C24)</f>
        <v>11900</v>
      </c>
      <c r="D22" s="27">
        <f t="shared" si="1"/>
        <v>142800</v>
      </c>
    </row>
    <row r="23" spans="1:4">
      <c r="B23" s="4" t="s">
        <v>86</v>
      </c>
      <c r="C23" s="5">
        <v>6000</v>
      </c>
      <c r="D23" s="5">
        <f t="shared" si="1"/>
        <v>72000</v>
      </c>
    </row>
    <row r="24" spans="1:4">
      <c r="A24" s="28"/>
      <c r="B24" s="40" t="s">
        <v>120</v>
      </c>
      <c r="C24" s="29">
        <v>5900</v>
      </c>
      <c r="D24" s="30">
        <f t="shared" si="1"/>
        <v>70800</v>
      </c>
    </row>
    <row r="25" spans="1:4">
      <c r="A25" s="79" t="s">
        <v>87</v>
      </c>
      <c r="B25" s="78"/>
      <c r="C25" s="27">
        <v>6200</v>
      </c>
      <c r="D25" s="27">
        <f t="shared" si="1"/>
        <v>74400</v>
      </c>
    </row>
    <row r="26" spans="1:4">
      <c r="A26" s="78" t="s">
        <v>36</v>
      </c>
      <c r="B26" s="78"/>
      <c r="C26" s="27">
        <v>10000</v>
      </c>
      <c r="D26" s="27">
        <f t="shared" si="1"/>
        <v>120000</v>
      </c>
    </row>
    <row r="27" spans="1:4" ht="8" customHeight="1">
      <c r="C27" s="11"/>
      <c r="D27" s="11"/>
    </row>
    <row r="28" spans="1:4" s="1" customFormat="1">
      <c r="A28" s="80" t="s">
        <v>11</v>
      </c>
      <c r="B28" s="80"/>
      <c r="C28" s="13">
        <f>C4+C13+C17+C22+C25+C26</f>
        <v>298595</v>
      </c>
      <c r="D28" s="13">
        <f>D4+D13+D17+D22+D25+D26</f>
        <v>3583140</v>
      </c>
    </row>
  </sheetData>
  <mergeCells count="9">
    <mergeCell ref="A22:B22"/>
    <mergeCell ref="A25:B25"/>
    <mergeCell ref="A26:B26"/>
    <mergeCell ref="A28:B28"/>
    <mergeCell ref="A1:D1"/>
    <mergeCell ref="A3:B3"/>
    <mergeCell ref="A4:B4"/>
    <mergeCell ref="A13:B13"/>
    <mergeCell ref="A17:B17"/>
  </mergeCells>
  <pageMargins left="0.75" right="0.75" top="1" bottom="1" header="0.5" footer="0.5"/>
  <ignoredErrors>
    <ignoredError sqref="C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showGridLines="0" workbookViewId="0">
      <selection activeCell="C6" sqref="C6"/>
    </sheetView>
  </sheetViews>
  <sheetFormatPr defaultColWidth="9" defaultRowHeight="14.5"/>
  <cols>
    <col min="1" max="1" width="46.1796875" customWidth="1"/>
    <col min="2" max="2" width="14.26953125" customWidth="1"/>
    <col min="3" max="3" width="17.7265625" customWidth="1"/>
  </cols>
  <sheetData>
    <row r="1" spans="1:3" ht="18.5">
      <c r="A1" s="76" t="s">
        <v>1</v>
      </c>
      <c r="B1" s="76"/>
      <c r="C1" s="76"/>
    </row>
    <row r="3" spans="1:3" s="1" customFormat="1">
      <c r="A3" s="2" t="s">
        <v>8</v>
      </c>
      <c r="B3" s="2" t="s">
        <v>9</v>
      </c>
      <c r="C3" s="2" t="s">
        <v>0</v>
      </c>
    </row>
    <row r="4" spans="1:3">
      <c r="A4" s="14" t="s">
        <v>10</v>
      </c>
      <c r="B4" s="3">
        <v>50000</v>
      </c>
      <c r="C4" s="3">
        <f>B4*12</f>
        <v>600000</v>
      </c>
    </row>
    <row r="5" spans="1:3" ht="26" customHeight="1">
      <c r="A5" s="14" t="s">
        <v>44</v>
      </c>
      <c r="B5" s="3">
        <f>(B4*13%)</f>
        <v>6500</v>
      </c>
      <c r="C5" s="3">
        <f>(C4*13%)</f>
        <v>78000</v>
      </c>
    </row>
    <row r="6" spans="1:3">
      <c r="A6" s="2" t="s">
        <v>11</v>
      </c>
      <c r="B6" s="12">
        <f>B4</f>
        <v>50000</v>
      </c>
      <c r="C6" s="12">
        <f>C4</f>
        <v>600000</v>
      </c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showGridLines="0" topLeftCell="A5" workbookViewId="0">
      <selection activeCell="H20" sqref="H20"/>
    </sheetView>
  </sheetViews>
  <sheetFormatPr defaultColWidth="9" defaultRowHeight="14.5"/>
  <cols>
    <col min="1" max="1" width="4.26953125" customWidth="1"/>
    <col min="2" max="2" width="38.6328125" customWidth="1"/>
    <col min="3" max="3" width="16.1796875" customWidth="1"/>
    <col min="4" max="4" width="13" customWidth="1"/>
  </cols>
  <sheetData>
    <row r="1" spans="1:4" ht="18.5">
      <c r="A1" s="76" t="s">
        <v>2</v>
      </c>
      <c r="B1" s="76"/>
      <c r="C1" s="76"/>
      <c r="D1" s="76"/>
    </row>
    <row r="3" spans="1:4" s="1" customFormat="1">
      <c r="A3" s="77" t="s">
        <v>12</v>
      </c>
      <c r="B3" s="77"/>
      <c r="C3" s="2" t="s">
        <v>9</v>
      </c>
      <c r="D3" s="2" t="s">
        <v>0</v>
      </c>
    </row>
    <row r="4" spans="1:4">
      <c r="A4" s="82" t="s">
        <v>13</v>
      </c>
      <c r="B4" s="83"/>
      <c r="C4" s="3">
        <f>SUM(C5:C6)</f>
        <v>15650</v>
      </c>
      <c r="D4" s="3">
        <f>SUM(D5:D6)</f>
        <v>187800</v>
      </c>
    </row>
    <row r="5" spans="1:4">
      <c r="A5" s="17"/>
      <c r="B5" s="15" t="s">
        <v>45</v>
      </c>
      <c r="C5" s="5">
        <f>'Заработная плата'!B4*0.3</f>
        <v>15000</v>
      </c>
      <c r="D5" s="5">
        <f t="shared" ref="D5:D10" si="0">C5*12</f>
        <v>180000</v>
      </c>
    </row>
    <row r="6" spans="1:4">
      <c r="A6" s="16"/>
      <c r="B6" s="4" t="s">
        <v>14</v>
      </c>
      <c r="C6" s="5">
        <v>650</v>
      </c>
      <c r="D6" s="5">
        <f t="shared" si="0"/>
        <v>7800</v>
      </c>
    </row>
    <row r="7" spans="1:4">
      <c r="A7" s="84" t="s">
        <v>46</v>
      </c>
      <c r="B7" s="85"/>
      <c r="C7" s="5">
        <v>5600</v>
      </c>
      <c r="D7" s="5">
        <f t="shared" si="0"/>
        <v>67200</v>
      </c>
    </row>
    <row r="8" spans="1:4" ht="28" customHeight="1">
      <c r="A8" s="86" t="s">
        <v>118</v>
      </c>
      <c r="B8" s="87"/>
      <c r="C8" s="5">
        <v>150</v>
      </c>
      <c r="D8" s="5">
        <f t="shared" si="0"/>
        <v>1800</v>
      </c>
    </row>
    <row r="9" spans="1:4">
      <c r="A9" s="83" t="s">
        <v>15</v>
      </c>
      <c r="B9" s="83"/>
      <c r="C9" s="3">
        <v>12000</v>
      </c>
      <c r="D9" s="3">
        <f t="shared" si="0"/>
        <v>144000</v>
      </c>
    </row>
    <row r="10" spans="1:4" ht="15" customHeight="1">
      <c r="A10" s="83" t="s">
        <v>71</v>
      </c>
      <c r="B10" s="83"/>
      <c r="C10" s="11">
        <v>3400</v>
      </c>
      <c r="D10" s="3">
        <f t="shared" si="0"/>
        <v>40800</v>
      </c>
    </row>
    <row r="11" spans="1:4">
      <c r="A11" s="77" t="s">
        <v>11</v>
      </c>
      <c r="B11" s="77"/>
      <c r="C11" s="12">
        <f>C4+C7+C8+C9+C10</f>
        <v>36800</v>
      </c>
      <c r="D11" s="12">
        <f>D4+D7+D8+D9+D10</f>
        <v>441600</v>
      </c>
    </row>
  </sheetData>
  <mergeCells count="8">
    <mergeCell ref="A1:D1"/>
    <mergeCell ref="A3:B3"/>
    <mergeCell ref="A4:B4"/>
    <mergeCell ref="A9:B9"/>
    <mergeCell ref="A11:B11"/>
    <mergeCell ref="A10:B10"/>
    <mergeCell ref="A7:B7"/>
    <mergeCell ref="A8:B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showGridLines="0" zoomScaleNormal="100" workbookViewId="0">
      <selection activeCell="C26" sqref="C26"/>
    </sheetView>
  </sheetViews>
  <sheetFormatPr defaultColWidth="9" defaultRowHeight="14.5"/>
  <cols>
    <col min="1" max="1" width="3.90625" customWidth="1"/>
    <col min="2" max="2" width="68.6328125" customWidth="1"/>
    <col min="3" max="3" width="16" customWidth="1"/>
    <col min="4" max="4" width="16.36328125" customWidth="1"/>
  </cols>
  <sheetData>
    <row r="1" spans="1:4" ht="18.5">
      <c r="A1" s="76" t="s">
        <v>37</v>
      </c>
      <c r="B1" s="76"/>
      <c r="C1" s="76"/>
      <c r="D1" s="76"/>
    </row>
    <row r="3" spans="1:4">
      <c r="A3" s="77" t="s">
        <v>26</v>
      </c>
      <c r="B3" s="77"/>
      <c r="C3" s="2" t="s">
        <v>9</v>
      </c>
      <c r="D3" s="2" t="s">
        <v>0</v>
      </c>
    </row>
    <row r="4" spans="1:4">
      <c r="A4" s="83" t="s">
        <v>38</v>
      </c>
      <c r="B4" s="83"/>
      <c r="C4" s="3">
        <f>SUM(C5,C6)</f>
        <v>7000</v>
      </c>
      <c r="D4" s="3">
        <f t="shared" ref="D4:D9" si="0">C4*12</f>
        <v>84000</v>
      </c>
    </row>
    <row r="5" spans="1:4">
      <c r="B5" s="4" t="s">
        <v>74</v>
      </c>
      <c r="C5" s="5">
        <v>3000</v>
      </c>
      <c r="D5" s="5">
        <f t="shared" si="0"/>
        <v>36000</v>
      </c>
    </row>
    <row r="6" spans="1:4">
      <c r="B6" s="4" t="s">
        <v>39</v>
      </c>
      <c r="C6" s="5">
        <v>4000</v>
      </c>
      <c r="D6" s="5">
        <f t="shared" si="0"/>
        <v>48000</v>
      </c>
    </row>
    <row r="7" spans="1:4">
      <c r="A7" s="88" t="s">
        <v>80</v>
      </c>
      <c r="B7" s="83"/>
      <c r="C7" s="3">
        <f>C8+C9</f>
        <v>20200</v>
      </c>
      <c r="D7" s="3">
        <f t="shared" si="0"/>
        <v>242400</v>
      </c>
    </row>
    <row r="8" spans="1:4">
      <c r="B8" s="4" t="s">
        <v>83</v>
      </c>
      <c r="C8" s="5">
        <v>3200</v>
      </c>
      <c r="D8" s="5">
        <f t="shared" si="0"/>
        <v>38400</v>
      </c>
    </row>
    <row r="9" spans="1:4">
      <c r="B9" s="8" t="s">
        <v>73</v>
      </c>
      <c r="C9" s="9">
        <v>17000</v>
      </c>
      <c r="D9" s="5">
        <f t="shared" si="0"/>
        <v>204000</v>
      </c>
    </row>
    <row r="10" spans="1:4">
      <c r="A10" s="83" t="s">
        <v>40</v>
      </c>
      <c r="B10" s="83"/>
      <c r="C10" s="3">
        <f>C11+C12</f>
        <v>4800</v>
      </c>
      <c r="D10" s="3">
        <f>C10*12</f>
        <v>57600</v>
      </c>
    </row>
    <row r="11" spans="1:4" ht="14" customHeight="1">
      <c r="B11" s="25" t="s">
        <v>88</v>
      </c>
      <c r="C11" s="3">
        <v>1300</v>
      </c>
      <c r="D11" s="3">
        <f>C11*12</f>
        <v>15600</v>
      </c>
    </row>
    <row r="12" spans="1:4" ht="14" customHeight="1">
      <c r="B12" s="25" t="s">
        <v>7</v>
      </c>
      <c r="C12" s="3">
        <v>3500</v>
      </c>
      <c r="D12" s="3">
        <f>C12*12</f>
        <v>42000</v>
      </c>
    </row>
    <row r="13" spans="1:4" s="1" customFormat="1">
      <c r="A13" s="80" t="s">
        <v>11</v>
      </c>
      <c r="B13" s="80"/>
      <c r="C13" s="13">
        <f>SUM(C4,C7,C10)</f>
        <v>32000</v>
      </c>
      <c r="D13" s="13">
        <f>D4+D7+D10</f>
        <v>384000</v>
      </c>
    </row>
  </sheetData>
  <mergeCells count="6">
    <mergeCell ref="A13:B13"/>
    <mergeCell ref="A1:D1"/>
    <mergeCell ref="A3:B3"/>
    <mergeCell ref="A4:B4"/>
    <mergeCell ref="A7:B7"/>
    <mergeCell ref="A10:B1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showGridLines="0" zoomScale="95" workbookViewId="0">
      <selection activeCell="A5" sqref="A5:B5"/>
    </sheetView>
  </sheetViews>
  <sheetFormatPr defaultColWidth="9" defaultRowHeight="14.5"/>
  <cols>
    <col min="1" max="1" width="3.90625" customWidth="1"/>
    <col min="2" max="2" width="96.453125" customWidth="1"/>
    <col min="3" max="3" width="16" customWidth="1"/>
    <col min="4" max="4" width="16.36328125" customWidth="1"/>
  </cols>
  <sheetData>
    <row r="1" spans="1:4" ht="18.5">
      <c r="A1" s="76" t="s">
        <v>41</v>
      </c>
      <c r="B1" s="76"/>
      <c r="C1" s="76"/>
      <c r="D1" s="76"/>
    </row>
    <row r="3" spans="1:4">
      <c r="A3" s="77" t="s">
        <v>26</v>
      </c>
      <c r="B3" s="77"/>
      <c r="C3" s="2" t="s">
        <v>9</v>
      </c>
      <c r="D3" s="2" t="s">
        <v>0</v>
      </c>
    </row>
    <row r="4" spans="1:4">
      <c r="A4" s="89" t="s">
        <v>131</v>
      </c>
      <c r="B4" s="83"/>
      <c r="C4" s="5">
        <v>15933.333000000001</v>
      </c>
      <c r="D4" s="5">
        <f t="shared" ref="D4" si="0">C4*12</f>
        <v>191199.99600000001</v>
      </c>
    </row>
    <row r="5" spans="1:4">
      <c r="A5" s="88" t="s">
        <v>82</v>
      </c>
      <c r="B5" s="83"/>
      <c r="C5" s="36"/>
      <c r="D5" s="36"/>
    </row>
    <row r="6" spans="1:4" ht="7" customHeight="1"/>
    <row r="7" spans="1:4">
      <c r="A7" s="80" t="s">
        <v>11</v>
      </c>
      <c r="B7" s="80"/>
      <c r="C7" s="37">
        <f>C4+C5</f>
        <v>15933.333000000001</v>
      </c>
      <c r="D7" s="13">
        <f>D4+D5</f>
        <v>191199.99600000001</v>
      </c>
    </row>
  </sheetData>
  <mergeCells count="5">
    <mergeCell ref="A7:B7"/>
    <mergeCell ref="A1:D1"/>
    <mergeCell ref="A3:B3"/>
    <mergeCell ref="A4:B4"/>
    <mergeCell ref="A5:B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6"/>
  <sheetViews>
    <sheetView showGridLines="0" workbookViewId="0">
      <selection activeCell="B23" sqref="B23"/>
    </sheetView>
  </sheetViews>
  <sheetFormatPr defaultColWidth="9" defaultRowHeight="14.5"/>
  <cols>
    <col min="1" max="1" width="4.26953125" customWidth="1"/>
    <col min="2" max="2" width="83.453125" customWidth="1"/>
    <col min="3" max="3" width="16.1796875" customWidth="1"/>
    <col min="4" max="4" width="13" customWidth="1"/>
  </cols>
  <sheetData>
    <row r="1" spans="1:4" ht="18.5">
      <c r="A1" s="76" t="s">
        <v>7</v>
      </c>
      <c r="B1" s="76"/>
      <c r="C1" s="76"/>
      <c r="D1" s="76"/>
    </row>
    <row r="3" spans="1:4" s="1" customFormat="1">
      <c r="A3" s="77" t="s">
        <v>16</v>
      </c>
      <c r="B3" s="77"/>
      <c r="C3" s="2" t="s">
        <v>9</v>
      </c>
      <c r="D3" s="2" t="s">
        <v>0</v>
      </c>
    </row>
    <row r="4" spans="1:4">
      <c r="A4" s="90" t="s">
        <v>113</v>
      </c>
      <c r="B4" s="83"/>
      <c r="C4" s="3">
        <f>C5+C7+C6</f>
        <v>3330</v>
      </c>
      <c r="D4" s="3">
        <f t="shared" ref="D4:D12" si="0">C4*12</f>
        <v>39960</v>
      </c>
    </row>
    <row r="5" spans="1:4">
      <c r="B5" s="4" t="s">
        <v>42</v>
      </c>
      <c r="C5" s="5">
        <v>2500</v>
      </c>
      <c r="D5" s="3">
        <f t="shared" si="0"/>
        <v>30000</v>
      </c>
    </row>
    <row r="6" spans="1:4">
      <c r="B6" s="6" t="s">
        <v>78</v>
      </c>
      <c r="C6" s="7">
        <v>830</v>
      </c>
      <c r="D6" s="3">
        <f t="shared" si="0"/>
        <v>9960</v>
      </c>
    </row>
    <row r="7" spans="1:4">
      <c r="B7" s="8" t="s">
        <v>43</v>
      </c>
      <c r="C7" s="9">
        <v>0</v>
      </c>
      <c r="D7" s="10">
        <f t="shared" si="0"/>
        <v>0</v>
      </c>
    </row>
    <row r="8" spans="1:4">
      <c r="A8" s="83" t="s">
        <v>75</v>
      </c>
      <c r="B8" s="83"/>
      <c r="C8" s="3">
        <f>SUM(C9:C11)</f>
        <v>13700</v>
      </c>
      <c r="D8" s="3">
        <f>SUM(D9:D11)</f>
        <v>164400</v>
      </c>
    </row>
    <row r="9" spans="1:4">
      <c r="A9" s="32"/>
      <c r="B9" s="32" t="s">
        <v>76</v>
      </c>
      <c r="C9" s="3">
        <v>1400</v>
      </c>
      <c r="D9" s="3">
        <f t="shared" si="0"/>
        <v>16800</v>
      </c>
    </row>
    <row r="10" spans="1:4">
      <c r="A10" s="32"/>
      <c r="B10" s="32" t="s">
        <v>77</v>
      </c>
      <c r="C10" s="3">
        <v>10000</v>
      </c>
      <c r="D10" s="3">
        <f t="shared" si="0"/>
        <v>120000</v>
      </c>
    </row>
    <row r="11" spans="1:4">
      <c r="A11" s="32"/>
      <c r="B11" s="60" t="s">
        <v>115</v>
      </c>
      <c r="C11" s="3">
        <v>2300</v>
      </c>
      <c r="D11" s="3">
        <f t="shared" si="0"/>
        <v>27600</v>
      </c>
    </row>
    <row r="12" spans="1:4">
      <c r="A12" s="92" t="s">
        <v>111</v>
      </c>
      <c r="B12" s="85"/>
      <c r="C12" s="3">
        <v>14000</v>
      </c>
      <c r="D12" s="3">
        <f t="shared" si="0"/>
        <v>168000</v>
      </c>
    </row>
    <row r="13" spans="1:4">
      <c r="A13" s="92" t="s">
        <v>114</v>
      </c>
      <c r="B13" s="93"/>
      <c r="C13" s="3">
        <v>3500</v>
      </c>
      <c r="D13" s="3">
        <f>C13*12</f>
        <v>42000</v>
      </c>
    </row>
    <row r="14" spans="1:4" ht="32" customHeight="1">
      <c r="A14" s="91" t="s">
        <v>66</v>
      </c>
      <c r="B14" s="91"/>
      <c r="C14" s="3">
        <v>5800</v>
      </c>
      <c r="D14" s="3">
        <f>C14*12</f>
        <v>69600</v>
      </c>
    </row>
    <row r="15" spans="1:4" ht="7" customHeight="1">
      <c r="C15" s="11"/>
      <c r="D15" s="11"/>
    </row>
    <row r="16" spans="1:4">
      <c r="A16" s="77" t="s">
        <v>11</v>
      </c>
      <c r="B16" s="77"/>
      <c r="C16" s="12">
        <f>C4+C8+C12+C14</f>
        <v>36830</v>
      </c>
      <c r="D16" s="12">
        <f>D4+D8+D12+D13+D14</f>
        <v>483960</v>
      </c>
    </row>
  </sheetData>
  <mergeCells count="8">
    <mergeCell ref="A16:B16"/>
    <mergeCell ref="A1:D1"/>
    <mergeCell ref="A3:B3"/>
    <mergeCell ref="A4:B4"/>
    <mergeCell ref="A8:B8"/>
    <mergeCell ref="A14:B14"/>
    <mergeCell ref="A12:B12"/>
    <mergeCell ref="A13:B1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45C8-0FAB-4FA7-9BB6-8F75AA597E20}">
  <sheetPr>
    <tabColor rgb="FF00B0F0"/>
  </sheetPr>
  <dimension ref="A1:E23"/>
  <sheetViews>
    <sheetView workbookViewId="0">
      <selection activeCell="B28" sqref="B28"/>
    </sheetView>
  </sheetViews>
  <sheetFormatPr defaultRowHeight="14.5"/>
  <cols>
    <col min="2" max="2" width="60.36328125" customWidth="1"/>
    <col min="3" max="3" width="27.90625" customWidth="1"/>
    <col min="4" max="4" width="18.26953125" customWidth="1"/>
    <col min="5" max="5" width="14" bestFit="1" customWidth="1"/>
    <col min="6" max="6" width="11.453125" bestFit="1" customWidth="1"/>
  </cols>
  <sheetData>
    <row r="1" spans="1:5" ht="35.5" customHeight="1">
      <c r="A1" s="94" t="s">
        <v>123</v>
      </c>
      <c r="B1" s="94"/>
      <c r="C1" s="94"/>
      <c r="D1" s="94"/>
    </row>
    <row r="2" spans="1:5">
      <c r="B2" s="56" t="s">
        <v>108</v>
      </c>
      <c r="D2" s="3">
        <v>834000</v>
      </c>
    </row>
    <row r="3" spans="1:5">
      <c r="A3" s="77" t="s">
        <v>26</v>
      </c>
      <c r="B3" s="77"/>
      <c r="C3" s="2" t="s">
        <v>9</v>
      </c>
      <c r="D3" s="2" t="s">
        <v>0</v>
      </c>
    </row>
    <row r="4" spans="1:5">
      <c r="A4" s="83" t="s">
        <v>60</v>
      </c>
      <c r="B4" s="83"/>
      <c r="C4" s="21">
        <f>D4/12</f>
        <v>25000</v>
      </c>
      <c r="D4" s="3">
        <v>300000</v>
      </c>
      <c r="E4" s="31"/>
    </row>
    <row r="5" spans="1:5">
      <c r="A5" s="83" t="s">
        <v>17</v>
      </c>
      <c r="B5" s="83"/>
      <c r="C5" s="3">
        <v>950</v>
      </c>
      <c r="D5" s="3">
        <f t="shared" ref="D5:D14" si="0">C5*12</f>
        <v>11400</v>
      </c>
    </row>
    <row r="6" spans="1:5">
      <c r="A6" s="83" t="s">
        <v>57</v>
      </c>
      <c r="B6" s="83"/>
      <c r="C6" s="3">
        <f>SUM(C7:C10)</f>
        <v>35833.333333333328</v>
      </c>
      <c r="D6" s="3">
        <f>SUM(D7:D10)</f>
        <v>430000</v>
      </c>
      <c r="E6" s="31"/>
    </row>
    <row r="7" spans="1:5">
      <c r="B7" s="22" t="s">
        <v>53</v>
      </c>
      <c r="C7" s="23">
        <f>D7/12</f>
        <v>4683.333333333333</v>
      </c>
      <c r="D7" s="23">
        <v>56200</v>
      </c>
    </row>
    <row r="8" spans="1:5">
      <c r="B8" s="22" t="s">
        <v>54</v>
      </c>
      <c r="C8" s="23">
        <v>11650</v>
      </c>
      <c r="D8" s="23">
        <f t="shared" si="0"/>
        <v>139800</v>
      </c>
    </row>
    <row r="9" spans="1:5">
      <c r="B9" s="22" t="s">
        <v>55</v>
      </c>
      <c r="C9" s="23">
        <v>8750</v>
      </c>
      <c r="D9" s="23">
        <f t="shared" si="0"/>
        <v>105000</v>
      </c>
    </row>
    <row r="10" spans="1:5">
      <c r="B10" s="24" t="s">
        <v>58</v>
      </c>
      <c r="C10" s="23">
        <v>10750</v>
      </c>
      <c r="D10" s="23">
        <f t="shared" si="0"/>
        <v>129000</v>
      </c>
    </row>
    <row r="11" spans="1:5">
      <c r="B11" s="8"/>
      <c r="C11" s="9"/>
      <c r="D11" s="5"/>
    </row>
    <row r="12" spans="1:5">
      <c r="A12" s="83" t="s">
        <v>50</v>
      </c>
      <c r="B12" s="83"/>
      <c r="C12" s="9">
        <f>SUM(C13:C14)</f>
        <v>25000</v>
      </c>
      <c r="D12" s="5">
        <f>SUM(D13:D14)</f>
        <v>300000</v>
      </c>
      <c r="E12" s="31"/>
    </row>
    <row r="13" spans="1:5">
      <c r="A13" s="18"/>
      <c r="B13" s="22" t="s">
        <v>48</v>
      </c>
      <c r="C13" s="23">
        <v>12500</v>
      </c>
      <c r="D13" s="23">
        <f t="shared" si="0"/>
        <v>150000</v>
      </c>
    </row>
    <row r="14" spans="1:5">
      <c r="B14" s="22" t="s">
        <v>49</v>
      </c>
      <c r="C14" s="23">
        <v>12500</v>
      </c>
      <c r="D14" s="23">
        <f t="shared" si="0"/>
        <v>150000</v>
      </c>
    </row>
    <row r="15" spans="1:5">
      <c r="A15" s="95" t="s">
        <v>56</v>
      </c>
      <c r="B15" s="96"/>
      <c r="C15" s="5">
        <f>D15/12</f>
        <v>8333.3333333333339</v>
      </c>
      <c r="D15" s="5">
        <v>100000</v>
      </c>
    </row>
    <row r="16" spans="1:5">
      <c r="A16" s="97" t="s">
        <v>59</v>
      </c>
      <c r="B16" s="97"/>
      <c r="C16" s="20">
        <f>SUM(C17:C18)</f>
        <v>32383.333333333332</v>
      </c>
      <c r="D16" s="20">
        <f>SUM(D17:D18)</f>
        <v>388600</v>
      </c>
    </row>
    <row r="17" spans="1:4">
      <c r="A17" s="19"/>
      <c r="B17" s="38" t="s">
        <v>51</v>
      </c>
      <c r="C17" s="9">
        <v>25000</v>
      </c>
      <c r="D17" s="5">
        <f t="shared" ref="D17" si="1">C17*12</f>
        <v>300000</v>
      </c>
    </row>
    <row r="18" spans="1:4">
      <c r="A18" s="18"/>
      <c r="B18" s="18" t="s">
        <v>52</v>
      </c>
      <c r="C18" s="3">
        <f>D18/12</f>
        <v>7383.333333333333</v>
      </c>
      <c r="D18" s="3">
        <v>88600</v>
      </c>
    </row>
    <row r="19" spans="1:4">
      <c r="A19" s="80" t="s">
        <v>11</v>
      </c>
      <c r="B19" s="80"/>
      <c r="C19" s="13">
        <f>C5+C6+C12+C15+C16</f>
        <v>102499.99999999999</v>
      </c>
      <c r="D19" s="13">
        <f>D4+D5+D6+D12+D15+D16</f>
        <v>1530000</v>
      </c>
    </row>
    <row r="20" spans="1:4">
      <c r="A20" s="14"/>
      <c r="B20" s="66" t="s">
        <v>124</v>
      </c>
      <c r="C20" s="14"/>
      <c r="D20" s="33">
        <f>D19-D2</f>
        <v>696000</v>
      </c>
    </row>
    <row r="21" spans="1:4">
      <c r="A21" s="14"/>
      <c r="B21" s="70" t="s">
        <v>125</v>
      </c>
      <c r="C21" s="33">
        <f>D21/12</f>
        <v>891.66666666666663</v>
      </c>
      <c r="D21" s="33">
        <f>ROUNDDOWN(D20/65,-2)</f>
        <v>10700</v>
      </c>
    </row>
    <row r="22" spans="1:4">
      <c r="A22" s="67"/>
      <c r="B22" s="68"/>
      <c r="C22" s="69"/>
      <c r="D22" s="69"/>
    </row>
    <row r="23" spans="1:4">
      <c r="B23" s="65"/>
      <c r="D23" s="31"/>
    </row>
  </sheetData>
  <mergeCells count="9">
    <mergeCell ref="A4:B4"/>
    <mergeCell ref="A1:D1"/>
    <mergeCell ref="A3:B3"/>
    <mergeCell ref="A5:B5"/>
    <mergeCell ref="A19:B19"/>
    <mergeCell ref="A6:B6"/>
    <mergeCell ref="A12:B12"/>
    <mergeCell ref="A15:B15"/>
    <mergeCell ref="A16:B1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Смета 2026</vt:lpstr>
      <vt:lpstr>Оплата контрагентам</vt:lpstr>
      <vt:lpstr>Благоустройство</vt:lpstr>
      <vt:lpstr>Заработная плата</vt:lpstr>
      <vt:lpstr>Налоги и отчисления</vt:lpstr>
      <vt:lpstr>Противопожарные мероприятия</vt:lpstr>
      <vt:lpstr>Мероприятия и праздники</vt:lpstr>
      <vt:lpstr>Прочее</vt:lpstr>
      <vt:lpstr>Поддержание водопровода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alekseyburakov</dc:creator>
  <cp:lastModifiedBy>Зуева Мария Борисовна</cp:lastModifiedBy>
  <dcterms:created xsi:type="dcterms:W3CDTF">2023-11-06T10:00:17Z</dcterms:created>
  <dcterms:modified xsi:type="dcterms:W3CDTF">2026-07-23T06:52:09Z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