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E:\СНТ\собрание\2026\Публикация\"/>
    </mc:Choice>
  </mc:AlternateContent>
  <xr:revisionPtr revIDLastSave="0" documentId="13_ncr:1_{5A4F85FD-9514-428C-BE04-0DBA761E025F}" xr6:coauthVersionLast="36" xr6:coauthVersionMax="36" xr10:uidLastSave="{00000000-0000-0000-0000-000000000000}"/>
  <bookViews>
    <workbookView xWindow="0" yWindow="0" windowWidth="28800" windowHeight="11700" tabRatio="764" xr2:uid="{00000000-000D-0000-FFFF-FFFF00000000}"/>
  </bookViews>
  <sheets>
    <sheet name="Смета 2027" sheetId="13" r:id="rId1"/>
    <sheet name="Контрагенты" sheetId="4" r:id="rId2"/>
    <sheet name="Благоустройство" sheetId="6" r:id="rId3"/>
    <sheet name="Заработная плата" sheetId="2" r:id="rId4"/>
    <sheet name="Налоги и отчисления" sheetId="3" r:id="rId5"/>
    <sheet name="Противопожарные мероприятия" sheetId="7" r:id="rId6"/>
    <sheet name="Мероприятия и праздники" sheetId="5" r:id="rId7"/>
    <sheet name="Прочее" sheetId="8" r:id="rId8"/>
    <sheet name="Поддержание водопровода" sheetId="9" r:id="rId9"/>
  </sheets>
  <calcPr calcId="191029"/>
</workbook>
</file>

<file path=xl/calcChain.xml><?xml version="1.0" encoding="utf-8"?>
<calcChain xmlns="http://schemas.openxmlformats.org/spreadsheetml/2006/main">
  <c r="D9" i="7" l="1"/>
  <c r="C9" i="7"/>
  <c r="C7" i="7"/>
  <c r="D24" i="6" l="1"/>
  <c r="C14" i="6" l="1"/>
  <c r="C15" i="6"/>
  <c r="D12" i="6"/>
  <c r="C20" i="4" l="1"/>
  <c r="C19" i="4"/>
  <c r="C18" i="4"/>
  <c r="C17" i="4"/>
  <c r="C14" i="4"/>
  <c r="C15" i="4"/>
  <c r="C12" i="4"/>
  <c r="C13" i="4"/>
  <c r="C11" i="4"/>
  <c r="C10" i="4"/>
  <c r="C7" i="4"/>
  <c r="C8" i="4"/>
  <c r="C9" i="4"/>
  <c r="C16" i="4"/>
  <c r="C6" i="4"/>
  <c r="C9" i="3" l="1"/>
  <c r="C26" i="6"/>
  <c r="C25" i="6"/>
  <c r="C27" i="6"/>
  <c r="C23" i="6"/>
  <c r="C14" i="8"/>
  <c r="C12" i="8"/>
  <c r="C10" i="8"/>
  <c r="C8" i="7"/>
  <c r="C6" i="7"/>
  <c r="C5" i="7"/>
  <c r="C7" i="3"/>
  <c r="C11" i="6"/>
  <c r="C24" i="6"/>
  <c r="C18" i="6"/>
  <c r="C17" i="6"/>
  <c r="C16" i="6" s="1"/>
  <c r="C13" i="6"/>
  <c r="C12" i="6" s="1"/>
  <c r="C10" i="6"/>
  <c r="C9" i="6" l="1"/>
  <c r="C6" i="6"/>
  <c r="C5" i="6"/>
  <c r="C4" i="5" l="1"/>
  <c r="C22" i="9" l="1"/>
  <c r="D12" i="9"/>
  <c r="C14" i="9"/>
  <c r="C15" i="9"/>
  <c r="C13" i="9"/>
  <c r="D6" i="9"/>
  <c r="C6" i="9" s="1"/>
  <c r="C7" i="9"/>
  <c r="C8" i="9"/>
  <c r="C9" i="9"/>
  <c r="C10" i="9"/>
  <c r="C4" i="9"/>
  <c r="D13" i="8" l="1"/>
  <c r="B6" i="2" l="1"/>
  <c r="D4" i="4" l="1"/>
  <c r="D8" i="3" l="1"/>
  <c r="C7" i="5" l="1"/>
  <c r="C8" i="8" l="1"/>
  <c r="D11" i="8"/>
  <c r="D9" i="8"/>
  <c r="D8" i="8" l="1"/>
  <c r="D16" i="8" s="1"/>
  <c r="C20" i="6" l="1"/>
  <c r="C4" i="6"/>
  <c r="D22" i="6"/>
  <c r="D10" i="3" l="1"/>
  <c r="D6" i="3"/>
  <c r="B5" i="2" l="1"/>
  <c r="D7" i="8"/>
  <c r="D6" i="8"/>
  <c r="D5" i="8"/>
  <c r="C4" i="8"/>
  <c r="C16" i="8" s="1"/>
  <c r="D28" i="6"/>
  <c r="D21" i="6"/>
  <c r="D20" i="6"/>
  <c r="D19" i="6"/>
  <c r="C30" i="6"/>
  <c r="D8" i="6"/>
  <c r="D7" i="6"/>
  <c r="D4" i="6"/>
  <c r="C5" i="3"/>
  <c r="C4" i="2"/>
  <c r="C6" i="2" l="1"/>
  <c r="C5" i="2"/>
  <c r="D16" i="6"/>
  <c r="D30" i="6" s="1"/>
  <c r="D5" i="3"/>
  <c r="C4" i="3"/>
  <c r="C11" i="3" s="1"/>
  <c r="D4" i="8"/>
  <c r="D7" i="5" l="1"/>
  <c r="D4" i="3"/>
  <c r="D11" i="3" l="1"/>
  <c r="C5" i="4"/>
  <c r="C12" i="9" l="1"/>
  <c r="C19" i="9" s="1"/>
  <c r="D19" i="9" l="1"/>
  <c r="D20" i="9" s="1"/>
  <c r="D21" i="9" s="1"/>
  <c r="D7" i="7"/>
  <c r="D4" i="7"/>
  <c r="C4" i="7" l="1"/>
  <c r="C22" i="4" l="1"/>
  <c r="D22" i="4"/>
</calcChain>
</file>

<file path=xl/sharedStrings.xml><?xml version="1.0" encoding="utf-8"?>
<sst xmlns="http://schemas.openxmlformats.org/spreadsheetml/2006/main" count="162" uniqueCount="129">
  <si>
    <t>Сумма в год</t>
  </si>
  <si>
    <t>Заработная плата штатных сотрудников (на руки)</t>
  </si>
  <si>
    <t>Налоги и отчисления в бюджет</t>
  </si>
  <si>
    <t>Оплата контрагентам</t>
  </si>
  <si>
    <t>Благоустройство территории СНТ</t>
  </si>
  <si>
    <t>Противопожарные мероприятия в СНТ</t>
  </si>
  <si>
    <t>Общие мероприятия и праздники для жителей</t>
  </si>
  <si>
    <t>Прочее</t>
  </si>
  <si>
    <t>Должность</t>
  </si>
  <si>
    <t>Сумма в месяц</t>
  </si>
  <si>
    <t>Председатель Правления СНТ</t>
  </si>
  <si>
    <t>ИТОГО:</t>
  </si>
  <si>
    <t>Вид налога/отчисления</t>
  </si>
  <si>
    <t>Налоги на заработную плату</t>
  </si>
  <si>
    <t>Отчисления в СФР</t>
  </si>
  <si>
    <t>Земельный налог ЗОП</t>
  </si>
  <si>
    <t>Вид платежа</t>
  </si>
  <si>
    <t>Обслуживание расчетных счетов СНТ</t>
  </si>
  <si>
    <t>Телекоммуникационная передача отчетности</t>
  </si>
  <si>
    <t>Бухгалтерское обслуживание (аутсорсинг)</t>
  </si>
  <si>
    <t>Поставка электроэнергии для нужд СНТ</t>
  </si>
  <si>
    <t>Вывоз твердых бытовых отходов</t>
  </si>
  <si>
    <t>Услуги нотариуса</t>
  </si>
  <si>
    <t>Аренда абонентского ящика в ОПС 301000</t>
  </si>
  <si>
    <t>Почтовые услуги по отправке корреспонденции</t>
  </si>
  <si>
    <t xml:space="preserve">Работы по благоустройству </t>
  </si>
  <si>
    <t>Вид работ</t>
  </si>
  <si>
    <t>Дорожное хозяйство</t>
  </si>
  <si>
    <t>Очистка дорог от снега</t>
  </si>
  <si>
    <t>Посыпка противогололедными реагентами</t>
  </si>
  <si>
    <t>Закупка песчано-соляной смеси</t>
  </si>
  <si>
    <t>Наружное освещение</t>
  </si>
  <si>
    <t>Работы по установке фонарей</t>
  </si>
  <si>
    <t>Трамбовка мусора</t>
  </si>
  <si>
    <t>Уборка территории СНТ</t>
  </si>
  <si>
    <t>Прочие расходы на благоустройство</t>
  </si>
  <si>
    <t>Обеспечение противопожарной безопасности в СНТ</t>
  </si>
  <si>
    <t>Прочие расходы на обеспечение пожарной безопасности</t>
  </si>
  <si>
    <t>Общие мероприятия и праздники</t>
  </si>
  <si>
    <t>Компенсация использования личного автомобиля и иных транспортных средств</t>
  </si>
  <si>
    <t>Компенсация использования садовой техники и инструментов</t>
  </si>
  <si>
    <t>в том числе НДФЛ</t>
  </si>
  <si>
    <t>ЕСН</t>
  </si>
  <si>
    <t>ЕСН на договоры ГПХ</t>
  </si>
  <si>
    <t>Замена насоса, работы</t>
  </si>
  <si>
    <t>Замена насоса, материалы и оборудование</t>
  </si>
  <si>
    <t>Замена насоса</t>
  </si>
  <si>
    <t>Резерв под замену насоса (в размере стоимости замены насоса - работа + комплектующие)</t>
  </si>
  <si>
    <t>Резерв текущий</t>
  </si>
  <si>
    <t>Плановые работы на ВЗУ, ТО1, ТО2</t>
  </si>
  <si>
    <t>Аварийные работы на водопроводе</t>
  </si>
  <si>
    <t>Плановые работы на водопроводе (разбивка на участки)</t>
  </si>
  <si>
    <t>Материалы и комплектующие для водопровода</t>
  </si>
  <si>
    <t>Обслуживание сетей по договору ГПХ (в том числе НДФЛ 13%)</t>
  </si>
  <si>
    <t>Налог на договор ГПХ (ЕСН 30%)</t>
  </si>
  <si>
    <t>Резерв</t>
  </si>
  <si>
    <t>Электроэнергия</t>
  </si>
  <si>
    <t>Поддержка сайта</t>
  </si>
  <si>
    <t>Хостинг</t>
  </si>
  <si>
    <t>Покос</t>
  </si>
  <si>
    <t xml:space="preserve">Уборка и поддержание территории площадки </t>
  </si>
  <si>
    <t>Актуализация информации по реестру</t>
  </si>
  <si>
    <t>Непредвиденные расходы (штрафы, пени, выполнение постановлений контролирующих органов, прочее)</t>
  </si>
  <si>
    <t>Материалы для электромонтажа линий освещения</t>
  </si>
  <si>
    <t>Охранные услуги для подключенных к охранным комплексам</t>
  </si>
  <si>
    <t>Пошлины, пени, платежи</t>
  </si>
  <si>
    <t>Покос обочин</t>
  </si>
  <si>
    <t>Канцтовары, оргтехника и расходные материалы</t>
  </si>
  <si>
    <t>Канцтовары</t>
  </si>
  <si>
    <t>Оплата мобильной связи</t>
  </si>
  <si>
    <t>Обеспечение окоса обочин</t>
  </si>
  <si>
    <t>Работы по обслуживанию фонарей и линии</t>
  </si>
  <si>
    <t>в случае неиспользования средств экономия будет распределена решением правления СНТ</t>
  </si>
  <si>
    <t>Отпил сухих веток (кустарников и аварийных деревьев)</t>
  </si>
  <si>
    <t>Вознаграждение ревизионной комиссии</t>
  </si>
  <si>
    <t>Очистка/ремонт аварийных дренажных канав</t>
  </si>
  <si>
    <t>Обход территории и сбор мусора в мешки с доставкой на контейнерную площадку транспортом</t>
  </si>
  <si>
    <t>Запросы  и получение справок в государственных сервисах, госпошлины</t>
  </si>
  <si>
    <t>Смета доходов и расходов СНТ Твой дом на 2025 год (Приходно-расходная смета)</t>
  </si>
  <si>
    <t>Доходная часть</t>
  </si>
  <si>
    <t>№</t>
  </si>
  <si>
    <t>Наименование</t>
  </si>
  <si>
    <t>Сумма</t>
  </si>
  <si>
    <t>Членские взносы и плата граждан, ведущих садоводство на садовых земельных участках, расположенных в границах товарищества садоводства, без участия в товариществе (при собираемости 85%)</t>
  </si>
  <si>
    <t>Расходная часть</t>
  </si>
  <si>
    <t>Дополнительные статьи сметы</t>
  </si>
  <si>
    <t>Финансовая смета СНТ "Твой Дом" для расчета взносов членов СНТ и платы садоводов, не являющихся членами СНТ.</t>
  </si>
  <si>
    <t>Резерв средств на депозите</t>
  </si>
  <si>
    <t>Трубы для водоотведения и укладка</t>
  </si>
  <si>
    <t>Заработная плата штатных сотрудников (включая НДФЛ)</t>
  </si>
  <si>
    <t>Прочие административно-хозяйственные расзоды и материалы, непредвиденные расходы</t>
  </si>
  <si>
    <t>2.1.</t>
  </si>
  <si>
    <t>Целевой взнос на оплату технического обслуживания газопровода для членов СНТ и лиц, ведущих индивидуальное садоводство на территории, расположенной в границах СНТ, заключивших договора с ООО «Газпром межрегионгаз Тула» на поставку природного газа.</t>
  </si>
  <si>
    <t>Целевой взнос (плата) водопровод (65 абонентов) в 2027 г. из расчета 12600,00 за участок. Доходная часть.</t>
  </si>
  <si>
    <t>Оплата технического обслуживания уличных сетей газопровода</t>
  </si>
  <si>
    <t>Оплата за поддержание работоспособности водопровода. Расходная часть за счет взносов 2027 г.</t>
  </si>
  <si>
    <t>Задолженность по взносам более 6 месяцев</t>
  </si>
  <si>
    <t>Доходы по договорам по предоставлении  третьим лицам права пользования имуществом СНТ (совместное содержание контейнерной площадки)</t>
  </si>
  <si>
    <t>Компенсация использования  имущества членов правления для целей обеспечения деятельности СНТ</t>
  </si>
  <si>
    <t>Хозяйственные расходы</t>
  </si>
  <si>
    <t>Услуги охраны</t>
  </si>
  <si>
    <t>Налог на доход по договорам совместного использования контейнерной площадкой</t>
  </si>
  <si>
    <t>Площадка ТБО</t>
  </si>
  <si>
    <t>Текущий ремонт и обслуживание замков/ворот</t>
  </si>
  <si>
    <t>Членские взносы по которым есть риск недобора15%</t>
  </si>
  <si>
    <t>Обеспечение работоспособности сетей водоснабжения (для пользователей, подключенных к  сетям водоснабжения) в 2027 г. *</t>
  </si>
  <si>
    <t>Необходимо собрать взносов</t>
  </si>
  <si>
    <t>Расчетный размер взноса с участка (всего  65 участков)</t>
  </si>
  <si>
    <t>Целевой взнос с 1-го участка в 2027г. к утверждению</t>
  </si>
  <si>
    <t>*предлагается заложить удорожание на услуги поставщиков электроэнергии 13%,  стоимости насоса  и услуг по выполнения работ- 7%</t>
  </si>
  <si>
    <t>Текущий ремонт дорог (работа техники и доставка материалов)</t>
  </si>
  <si>
    <t>Спил аварийных деревьев на обочинах</t>
  </si>
  <si>
    <t>Юридические услуги (юридическая поддержка)</t>
  </si>
  <si>
    <t>МФУ сканер/принер/сканер Canon</t>
  </si>
  <si>
    <t>Услуги печати</t>
  </si>
  <si>
    <t>Информационный стенд СНТ, уличные таблички</t>
  </si>
  <si>
    <t>Видеонаблюдение</t>
  </si>
  <si>
    <t>Протяжка кабеля и материалы для монтажка</t>
  </si>
  <si>
    <t>Видеокамеры для установки на 2-х перекрестках</t>
  </si>
  <si>
    <t>Предоставление цифровых  сервисов</t>
  </si>
  <si>
    <t>Обслуживание расчетного счета СНТ (Сбер) и комиссии</t>
  </si>
  <si>
    <t>Прочие расходы</t>
  </si>
  <si>
    <t>Итого по доходная часть</t>
  </si>
  <si>
    <t>Итого расходная часть за счет взносов и доходов</t>
  </si>
  <si>
    <t>Целевой взнос (плата)  газопровод из расчета 1550,00 руб. с участка</t>
  </si>
  <si>
    <t>Возмещение по судам</t>
  </si>
  <si>
    <r>
      <t>Итого необходимо собрать членских  взносов и платы садоводов (</t>
    </r>
    <r>
      <rPr>
        <b/>
        <sz val="11"/>
        <color theme="1"/>
        <rFont val="Symbol"/>
        <family val="1"/>
        <charset val="2"/>
      </rPr>
      <t>S</t>
    </r>
    <r>
      <rPr>
        <b/>
        <sz val="11"/>
        <color theme="1"/>
        <rFont val="Calibri"/>
        <family val="2"/>
        <charset val="204"/>
        <scheme val="minor"/>
      </rPr>
      <t xml:space="preserve"> ЧВ=расходная часть -доходы по договорам- полученное возмещение по судам)</t>
    </r>
  </si>
  <si>
    <t>Новый год, Масленица, 9 мая</t>
  </si>
  <si>
    <t>Целевой взнос на поддержание работоспособности водопровода (начисляется собственникам, имеющих подключенияк сетям водоснабжения) 65 участков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</si>
</sst>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[$₽-419]_-;\-* #,##0.00[$₽-419]_-;_-* &quot;-&quot;??[$₽-419]_-;_-@_-"/>
    <numFmt numFmtId="165" formatCode="_-* #,##0.00\ [$₽-419]_-;\-* #,##0.00\ [$₽-419]_-;_-* &quot;-&quot;??\ [$₽-419]_-;_-@_-"/>
    <numFmt numFmtId="166" formatCode="#,##0\ _₽"/>
  </numFmts>
  <fonts count="1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theme="2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2" tint="-0.249977111117893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3" borderId="1" xfId="0" applyFont="1" applyFill="1" applyBorder="1">
      <alignment vertical="center"/>
    </xf>
    <xf numFmtId="164" fontId="0" fillId="0" borderId="1" xfId="0" applyNumberFormat="1" applyBorder="1">
      <alignment vertical="center"/>
    </xf>
    <xf numFmtId="0" fontId="6" fillId="0" borderId="1" xfId="0" applyFont="1" applyBorder="1">
      <alignment vertical="center"/>
    </xf>
    <xf numFmtId="164" fontId="6" fillId="0" borderId="1" xfId="0" applyNumberFormat="1" applyFont="1" applyBorder="1">
      <alignment vertical="center"/>
    </xf>
    <xf numFmtId="0" fontId="6" fillId="0" borderId="2" xfId="0" applyFont="1" applyBorder="1">
      <alignment vertical="center"/>
    </xf>
    <xf numFmtId="164" fontId="6" fillId="0" borderId="2" xfId="0" applyNumberFormat="1" applyFont="1" applyBorder="1">
      <alignment vertical="center"/>
    </xf>
    <xf numFmtId="0" fontId="6" fillId="0" borderId="2" xfId="0" applyFont="1" applyBorder="1">
      <alignment vertical="center"/>
    </xf>
    <xf numFmtId="164" fontId="6" fillId="0" borderId="2" xfId="0" applyNumberFormat="1" applyFont="1" applyBorder="1">
      <alignment vertical="center"/>
    </xf>
    <xf numFmtId="164" fontId="0" fillId="0" borderId="2" xfId="0" applyNumberFormat="1" applyBorder="1">
      <alignment vertical="center"/>
    </xf>
    <xf numFmtId="164" fontId="0" fillId="0" borderId="0" xfId="0" applyNumberFormat="1">
      <alignment vertical="center"/>
    </xf>
    <xf numFmtId="164" fontId="4" fillId="3" borderId="1" xfId="0" applyNumberFormat="1" applyFont="1" applyFill="1" applyBorder="1">
      <alignment vertical="center"/>
    </xf>
    <xf numFmtId="164" fontId="7" fillId="3" borderId="0" xfId="0" applyNumberFormat="1" applyFont="1" applyFill="1">
      <alignment vertical="center"/>
    </xf>
    <xf numFmtId="0" fontId="0" fillId="0" borderId="1" xfId="0" applyBorder="1">
      <alignment vertical="center"/>
    </xf>
    <xf numFmtId="0" fontId="6" fillId="0" borderId="4" xfId="0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" xfId="0" applyBorder="1" applyAlignment="1">
      <alignment vertical="center"/>
    </xf>
    <xf numFmtId="164" fontId="6" fillId="0" borderId="0" xfId="0" applyNumberFormat="1" applyFont="1" applyBorder="1">
      <alignment vertical="center"/>
    </xf>
    <xf numFmtId="165" fontId="0" fillId="0" borderId="1" xfId="0" applyNumberFormat="1" applyBorder="1" applyAlignment="1">
      <alignment vertical="center"/>
    </xf>
    <xf numFmtId="0" fontId="9" fillId="0" borderId="1" xfId="0" applyFont="1" applyBorder="1" applyAlignment="1"/>
    <xf numFmtId="164" fontId="9" fillId="0" borderId="1" xfId="0" applyNumberFormat="1" applyFont="1" applyBorder="1">
      <alignment vertical="center"/>
    </xf>
    <xf numFmtId="0" fontId="9" fillId="0" borderId="1" xfId="0" applyFont="1" applyBorder="1">
      <alignment vertical="center"/>
    </xf>
    <xf numFmtId="0" fontId="6" fillId="0" borderId="1" xfId="0" applyFont="1" applyFill="1" applyBorder="1">
      <alignment vertical="center"/>
    </xf>
    <xf numFmtId="0" fontId="0" fillId="0" borderId="3" xfId="0" applyBorder="1" applyAlignment="1">
      <alignment vertical="center"/>
    </xf>
    <xf numFmtId="164" fontId="0" fillId="3" borderId="1" xfId="0" applyNumberFormat="1" applyFill="1" applyBorder="1">
      <alignment vertical="center"/>
    </xf>
    <xf numFmtId="0" fontId="0" fillId="0" borderId="1" xfId="0" applyFill="1" applyBorder="1" applyAlignment="1">
      <alignment vertical="center"/>
    </xf>
    <xf numFmtId="164" fontId="6" fillId="0" borderId="2" xfId="0" applyNumberFormat="1" applyFont="1" applyFill="1" applyBorder="1">
      <alignment vertical="center"/>
    </xf>
    <xf numFmtId="164" fontId="6" fillId="0" borderId="1" xfId="0" applyNumberFormat="1" applyFont="1" applyFill="1" applyBorder="1">
      <alignment vertical="center"/>
    </xf>
    <xf numFmtId="165" fontId="0" fillId="0" borderId="0" xfId="0" applyNumberFormat="1">
      <alignment vertical="center"/>
    </xf>
    <xf numFmtId="0" fontId="0" fillId="0" borderId="1" xfId="0" applyBorder="1" applyAlignment="1">
      <alignment horizontal="left" vertical="center"/>
    </xf>
    <xf numFmtId="165" fontId="0" fillId="0" borderId="1" xfId="0" applyNumberFormat="1" applyBorder="1">
      <alignment vertical="center"/>
    </xf>
    <xf numFmtId="164" fontId="3" fillId="0" borderId="1" xfId="0" applyNumberFormat="1" applyFont="1" applyBorder="1">
      <alignment vertical="center"/>
    </xf>
    <xf numFmtId="0" fontId="7" fillId="3" borderId="0" xfId="0" applyNumberFormat="1" applyFont="1" applyFill="1">
      <alignment vertical="center"/>
    </xf>
    <xf numFmtId="0" fontId="3" fillId="0" borderId="3" xfId="0" applyFont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3" xfId="0" applyBorder="1" applyAlignment="1">
      <alignment horizontal="left"/>
    </xf>
    <xf numFmtId="0" fontId="4" fillId="0" borderId="1" xfId="0" applyFont="1" applyBorder="1" applyAlignment="1">
      <alignment wrapText="1"/>
    </xf>
    <xf numFmtId="0" fontId="0" fillId="0" borderId="1" xfId="0" applyBorder="1" applyAlignment="1"/>
    <xf numFmtId="0" fontId="4" fillId="0" borderId="1" xfId="0" applyFont="1" applyBorder="1" applyAlignment="1"/>
    <xf numFmtId="166" fontId="0" fillId="0" borderId="1" xfId="0" applyNumberFormat="1" applyBorder="1" applyAlignment="1"/>
    <xf numFmtId="0" fontId="2" fillId="0" borderId="1" xfId="0" applyFont="1" applyBorder="1" applyAlignment="1">
      <alignment wrapText="1"/>
    </xf>
    <xf numFmtId="166" fontId="4" fillId="0" borderId="1" xfId="0" applyNumberFormat="1" applyFont="1" applyBorder="1" applyAlignment="1"/>
    <xf numFmtId="0" fontId="2" fillId="0" borderId="1" xfId="0" applyFont="1" applyBorder="1" applyAlignment="1"/>
    <xf numFmtId="0" fontId="0" fillId="0" borderId="1" xfId="0" applyFont="1" applyBorder="1" applyAlignment="1"/>
    <xf numFmtId="0" fontId="0" fillId="0" borderId="0" xfId="0" applyAlignment="1"/>
    <xf numFmtId="0" fontId="0" fillId="0" borderId="6" xfId="0" applyFont="1" applyBorder="1" applyAlignment="1"/>
    <xf numFmtId="164" fontId="2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10" fillId="0" borderId="1" xfId="0" applyFont="1" applyBorder="1" applyAlignment="1">
      <alignment horizontal="right" wrapText="1"/>
    </xf>
    <xf numFmtId="165" fontId="10" fillId="0" borderId="1" xfId="0" applyNumberFormat="1" applyFont="1" applyBorder="1" applyAlignment="1">
      <alignment horizontal="right" vertical="center"/>
    </xf>
    <xf numFmtId="166" fontId="0" fillId="0" borderId="4" xfId="0" applyNumberFormat="1" applyBorder="1" applyAlignment="1"/>
    <xf numFmtId="0" fontId="2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64" fontId="4" fillId="0" borderId="1" xfId="0" applyNumberFormat="1" applyFont="1" applyBorder="1">
      <alignment vertical="center"/>
    </xf>
    <xf numFmtId="0" fontId="1" fillId="0" borderId="1" xfId="0" applyFont="1" applyBorder="1" applyAlignment="1"/>
    <xf numFmtId="0" fontId="1" fillId="0" borderId="1" xfId="0" applyFont="1" applyBorder="1" applyAlignment="1">
      <alignment wrapText="1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0" fillId="0" borderId="9" xfId="0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1" fillId="3" borderId="1" xfId="0" applyFont="1" applyFill="1" applyBorder="1">
      <alignment vertical="center"/>
    </xf>
    <xf numFmtId="164" fontId="11" fillId="3" borderId="1" xfId="0" applyNumberFormat="1" applyFont="1" applyFill="1" applyBorder="1">
      <alignment vertical="center"/>
    </xf>
    <xf numFmtId="166" fontId="0" fillId="0" borderId="8" xfId="0" applyNumberFormat="1" applyBorder="1" applyAlignment="1"/>
    <xf numFmtId="165" fontId="4" fillId="0" borderId="1" xfId="0" applyNumberFormat="1" applyFont="1" applyBorder="1" applyAlignment="1"/>
    <xf numFmtId="0" fontId="8" fillId="2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center" vertical="top"/>
    </xf>
    <xf numFmtId="0" fontId="5" fillId="2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2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A907B-AB04-4138-8A6E-435BADE66E19}">
  <sheetPr>
    <tabColor theme="9"/>
  </sheetPr>
  <dimension ref="A1:I35"/>
  <sheetViews>
    <sheetView tabSelected="1" topLeftCell="A19" workbookViewId="0">
      <selection activeCell="B27" sqref="B27"/>
    </sheetView>
  </sheetViews>
  <sheetFormatPr defaultRowHeight="14.5"/>
  <cols>
    <col min="2" max="2" width="83.36328125" customWidth="1"/>
    <col min="3" max="3" width="18.7265625" customWidth="1"/>
    <col min="4" max="5" width="14" bestFit="1" customWidth="1"/>
  </cols>
  <sheetData>
    <row r="1" spans="1:9" ht="18.5">
      <c r="A1" s="74" t="s">
        <v>86</v>
      </c>
      <c r="B1" s="74"/>
      <c r="C1" s="74"/>
      <c r="D1" s="74"/>
      <c r="E1" s="74"/>
      <c r="F1" s="74"/>
      <c r="G1" s="74"/>
      <c r="H1" s="74"/>
      <c r="I1" s="74"/>
    </row>
    <row r="3" spans="1:9">
      <c r="A3" s="75" t="s">
        <v>78</v>
      </c>
      <c r="B3" s="75"/>
      <c r="C3" s="75"/>
    </row>
    <row r="4" spans="1:9" ht="12" customHeight="1">
      <c r="A4" s="38"/>
      <c r="B4" s="50" t="s">
        <v>87</v>
      </c>
      <c r="C4" s="51">
        <v>1500000</v>
      </c>
    </row>
    <row r="5" spans="1:9">
      <c r="A5" s="39"/>
      <c r="B5" s="40" t="s">
        <v>79</v>
      </c>
      <c r="C5" s="41"/>
    </row>
    <row r="6" spans="1:9">
      <c r="A6" s="39" t="s">
        <v>80</v>
      </c>
      <c r="B6" s="39" t="s">
        <v>81</v>
      </c>
      <c r="C6" s="41" t="s">
        <v>82</v>
      </c>
    </row>
    <row r="7" spans="1:9" ht="48" customHeight="1">
      <c r="A7" s="39">
        <v>1</v>
      </c>
      <c r="B7" s="42" t="s">
        <v>83</v>
      </c>
      <c r="C7" s="3">
        <v>7736045.5</v>
      </c>
    </row>
    <row r="8" spans="1:9">
      <c r="A8" s="39">
        <v>2</v>
      </c>
      <c r="B8" s="58" t="s">
        <v>104</v>
      </c>
      <c r="C8" s="3">
        <v>1365184.5</v>
      </c>
      <c r="D8" s="30"/>
    </row>
    <row r="9" spans="1:9" ht="31.5" customHeight="1">
      <c r="A9" s="39">
        <v>3</v>
      </c>
      <c r="B9" s="42" t="s">
        <v>97</v>
      </c>
      <c r="C9" s="3">
        <v>30000</v>
      </c>
    </row>
    <row r="10" spans="1:9" ht="13" customHeight="1">
      <c r="A10" s="39">
        <v>4</v>
      </c>
      <c r="B10" s="58" t="s">
        <v>125</v>
      </c>
      <c r="C10" s="3">
        <v>48000</v>
      </c>
    </row>
    <row r="11" spans="1:9">
      <c r="A11" s="40"/>
      <c r="B11" s="40" t="s">
        <v>122</v>
      </c>
      <c r="C11" s="56">
        <v>9179230</v>
      </c>
      <c r="D11" s="30"/>
      <c r="E11" s="30"/>
    </row>
    <row r="12" spans="1:9">
      <c r="A12" s="46"/>
      <c r="B12" s="46"/>
      <c r="C12" s="52"/>
    </row>
    <row r="13" spans="1:9">
      <c r="A13" s="39"/>
      <c r="B13" s="40" t="s">
        <v>84</v>
      </c>
      <c r="C13" s="41"/>
    </row>
    <row r="14" spans="1:9">
      <c r="A14" s="39" t="s">
        <v>80</v>
      </c>
      <c r="B14" s="39" t="s">
        <v>81</v>
      </c>
      <c r="C14" s="41" t="s">
        <v>82</v>
      </c>
    </row>
    <row r="15" spans="1:9" ht="16" customHeight="1">
      <c r="A15" s="39">
        <v>1</v>
      </c>
      <c r="B15" s="14" t="s">
        <v>3</v>
      </c>
      <c r="C15" s="3">
        <v>3876070</v>
      </c>
    </row>
    <row r="16" spans="1:9" ht="16" customHeight="1">
      <c r="A16" s="39">
        <v>2</v>
      </c>
      <c r="B16" s="14" t="s">
        <v>4</v>
      </c>
      <c r="C16" s="3">
        <v>3236800</v>
      </c>
    </row>
    <row r="17" spans="1:3" ht="14.5" customHeight="1">
      <c r="A17" s="39">
        <v>3</v>
      </c>
      <c r="B17" s="49" t="s">
        <v>89</v>
      </c>
      <c r="C17" s="3">
        <v>600000</v>
      </c>
    </row>
    <row r="18" spans="1:3">
      <c r="A18" s="39">
        <v>4</v>
      </c>
      <c r="B18" s="14" t="s">
        <v>2</v>
      </c>
      <c r="C18" s="3">
        <v>468400</v>
      </c>
    </row>
    <row r="19" spans="1:3">
      <c r="A19" s="39">
        <v>5</v>
      </c>
      <c r="B19" s="14" t="s">
        <v>5</v>
      </c>
      <c r="C19" s="3">
        <v>349600</v>
      </c>
    </row>
    <row r="20" spans="1:3">
      <c r="A20" s="39">
        <v>6</v>
      </c>
      <c r="B20" s="14" t="s">
        <v>6</v>
      </c>
      <c r="C20" s="3">
        <v>250000</v>
      </c>
    </row>
    <row r="21" spans="1:3">
      <c r="A21" s="39">
        <v>7</v>
      </c>
      <c r="B21" s="49" t="s">
        <v>90</v>
      </c>
      <c r="C21" s="3">
        <v>398360</v>
      </c>
    </row>
    <row r="22" spans="1:3">
      <c r="A22" s="40"/>
      <c r="B22" s="40" t="s">
        <v>123</v>
      </c>
      <c r="C22" s="56">
        <v>9179230</v>
      </c>
    </row>
    <row r="23" spans="1:3" ht="29">
      <c r="A23" s="39"/>
      <c r="B23" s="55" t="s">
        <v>126</v>
      </c>
      <c r="C23" s="73">
        <v>9101230</v>
      </c>
    </row>
    <row r="24" spans="1:3">
      <c r="A24" s="46"/>
      <c r="B24" s="46"/>
      <c r="C24" s="72"/>
    </row>
    <row r="25" spans="1:3">
      <c r="A25" s="39"/>
      <c r="B25" s="40" t="s">
        <v>85</v>
      </c>
      <c r="C25" s="41"/>
    </row>
    <row r="26" spans="1:3">
      <c r="A26" s="46"/>
      <c r="B26" s="46"/>
      <c r="C26" s="52"/>
    </row>
    <row r="27" spans="1:3" ht="31" customHeight="1">
      <c r="A27" s="40">
        <v>2</v>
      </c>
      <c r="B27" s="38" t="s">
        <v>128</v>
      </c>
      <c r="C27" s="43"/>
    </row>
    <row r="28" spans="1:3" ht="29">
      <c r="A28" s="40" t="s">
        <v>91</v>
      </c>
      <c r="B28" s="42" t="s">
        <v>93</v>
      </c>
      <c r="C28" s="56">
        <v>819000</v>
      </c>
    </row>
    <row r="29" spans="1:3" ht="28" customHeight="1">
      <c r="A29" s="39"/>
      <c r="B29" s="42" t="s">
        <v>95</v>
      </c>
      <c r="C29" s="3">
        <v>819000</v>
      </c>
    </row>
    <row r="30" spans="1:3">
      <c r="A30" s="46"/>
      <c r="B30" s="18"/>
      <c r="C30" s="52"/>
    </row>
    <row r="31" spans="1:3" ht="47" customHeight="1">
      <c r="A31" s="40">
        <v>3</v>
      </c>
      <c r="B31" s="38" t="s">
        <v>92</v>
      </c>
      <c r="C31" s="43"/>
    </row>
    <row r="32" spans="1:3">
      <c r="A32" s="46"/>
      <c r="B32" s="47" t="s">
        <v>79</v>
      </c>
      <c r="C32" s="41"/>
    </row>
    <row r="33" spans="1:3">
      <c r="A33" s="39"/>
      <c r="B33" s="57" t="s">
        <v>124</v>
      </c>
      <c r="C33" s="41">
        <v>128650</v>
      </c>
    </row>
    <row r="34" spans="1:3">
      <c r="A34" s="46"/>
      <c r="B34" s="45" t="s">
        <v>84</v>
      </c>
      <c r="C34" s="41"/>
    </row>
    <row r="35" spans="1:3">
      <c r="A35" s="39"/>
      <c r="B35" s="44" t="s">
        <v>94</v>
      </c>
      <c r="C35" s="41">
        <v>128650</v>
      </c>
    </row>
  </sheetData>
  <mergeCells count="2">
    <mergeCell ref="A1:I1"/>
    <mergeCell ref="A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"/>
  <sheetViews>
    <sheetView showGridLines="0" workbookViewId="0">
      <selection activeCell="C15" sqref="C15"/>
    </sheetView>
  </sheetViews>
  <sheetFormatPr defaultColWidth="9" defaultRowHeight="14.5"/>
  <cols>
    <col min="1" max="1" width="4.26953125" customWidth="1"/>
    <col min="2" max="2" width="42.26953125" customWidth="1"/>
    <col min="3" max="3" width="16.1796875" customWidth="1"/>
    <col min="4" max="4" width="17.453125" customWidth="1"/>
    <col min="5" max="5" width="14" bestFit="1" customWidth="1"/>
  </cols>
  <sheetData>
    <row r="1" spans="1:5" ht="18.5">
      <c r="A1" s="76" t="s">
        <v>3</v>
      </c>
      <c r="B1" s="76"/>
      <c r="C1" s="76"/>
      <c r="D1" s="76"/>
    </row>
    <row r="3" spans="1:5" s="1" customFormat="1">
      <c r="A3" s="77" t="s">
        <v>16</v>
      </c>
      <c r="B3" s="77"/>
      <c r="C3" s="2" t="s">
        <v>9</v>
      </c>
      <c r="D3" s="2" t="s">
        <v>0</v>
      </c>
    </row>
    <row r="4" spans="1:5" ht="29">
      <c r="B4" s="63" t="s">
        <v>120</v>
      </c>
      <c r="C4" s="48">
        <v>1572.5</v>
      </c>
      <c r="D4" s="3">
        <f>C4*12</f>
        <v>18870</v>
      </c>
    </row>
    <row r="5" spans="1:5">
      <c r="B5" s="18" t="s">
        <v>18</v>
      </c>
      <c r="C5" s="3">
        <f t="shared" ref="C5:C11" si="0">D5/12</f>
        <v>1000</v>
      </c>
      <c r="D5" s="3">
        <v>12000</v>
      </c>
    </row>
    <row r="6" spans="1:5">
      <c r="B6" s="18" t="s">
        <v>19</v>
      </c>
      <c r="C6" s="3">
        <f t="shared" si="0"/>
        <v>34500</v>
      </c>
      <c r="D6" s="3">
        <v>414000</v>
      </c>
    </row>
    <row r="7" spans="1:5">
      <c r="B7" s="53" t="s">
        <v>100</v>
      </c>
      <c r="C7" s="3">
        <f t="shared" si="0"/>
        <v>70000</v>
      </c>
      <c r="D7" s="3">
        <v>840000</v>
      </c>
    </row>
    <row r="8" spans="1:5">
      <c r="B8" s="25" t="s">
        <v>20</v>
      </c>
      <c r="C8" s="3">
        <f t="shared" si="0"/>
        <v>19833.333333333332</v>
      </c>
      <c r="D8" s="3">
        <v>238000</v>
      </c>
    </row>
    <row r="9" spans="1:5">
      <c r="B9" s="25" t="s">
        <v>21</v>
      </c>
      <c r="C9" s="3">
        <f t="shared" si="0"/>
        <v>145000</v>
      </c>
      <c r="D9" s="3">
        <v>1740000</v>
      </c>
      <c r="E9" s="30"/>
    </row>
    <row r="10" spans="1:5" ht="17" customHeight="1">
      <c r="B10" s="67" t="s">
        <v>112</v>
      </c>
      <c r="C10" s="3">
        <f t="shared" si="0"/>
        <v>31666.666666666668</v>
      </c>
      <c r="D10" s="3">
        <v>380000</v>
      </c>
    </row>
    <row r="11" spans="1:5">
      <c r="B11" s="25" t="s">
        <v>22</v>
      </c>
      <c r="C11" s="3">
        <f t="shared" si="0"/>
        <v>1750</v>
      </c>
      <c r="D11" s="3">
        <v>21000</v>
      </c>
    </row>
    <row r="12" spans="1:5">
      <c r="B12" s="25" t="s">
        <v>23</v>
      </c>
      <c r="C12" s="3">
        <f t="shared" ref="C12:C15" si="1">D12/12</f>
        <v>1666.6666666666667</v>
      </c>
      <c r="D12" s="3">
        <v>20000</v>
      </c>
    </row>
    <row r="13" spans="1:5">
      <c r="B13" s="25" t="s">
        <v>24</v>
      </c>
      <c r="C13" s="3">
        <f t="shared" si="1"/>
        <v>1000</v>
      </c>
      <c r="D13" s="3">
        <v>12000</v>
      </c>
    </row>
    <row r="14" spans="1:5">
      <c r="B14" s="18" t="s">
        <v>57</v>
      </c>
      <c r="C14" s="3">
        <f t="shared" si="1"/>
        <v>1250</v>
      </c>
      <c r="D14" s="3">
        <v>15000</v>
      </c>
    </row>
    <row r="15" spans="1:5">
      <c r="B15" s="25" t="s">
        <v>58</v>
      </c>
      <c r="C15" s="3">
        <f t="shared" si="1"/>
        <v>2100</v>
      </c>
      <c r="D15" s="3">
        <v>25200</v>
      </c>
    </row>
    <row r="16" spans="1:5">
      <c r="B16" s="35" t="s">
        <v>74</v>
      </c>
      <c r="C16" s="3">
        <f>D16/12</f>
        <v>1916.6666666666667</v>
      </c>
      <c r="D16" s="3">
        <v>23000</v>
      </c>
    </row>
    <row r="17" spans="1:4">
      <c r="B17" s="14" t="s">
        <v>61</v>
      </c>
      <c r="C17" s="3">
        <f>D17/12</f>
        <v>1166.6666666666667</v>
      </c>
      <c r="D17" s="3">
        <v>14000</v>
      </c>
    </row>
    <row r="18" spans="1:4" ht="29">
      <c r="B18" s="66" t="s">
        <v>77</v>
      </c>
      <c r="C18" s="3">
        <f>D18/12</f>
        <v>2333.3333333333335</v>
      </c>
      <c r="D18" s="3">
        <v>28000</v>
      </c>
    </row>
    <row r="19" spans="1:4">
      <c r="B19" s="18" t="s">
        <v>119</v>
      </c>
      <c r="C19" s="3">
        <f>D19/12</f>
        <v>6250</v>
      </c>
      <c r="D19" s="3">
        <v>75000</v>
      </c>
    </row>
    <row r="20" spans="1:4" ht="29">
      <c r="A20" s="65"/>
      <c r="B20" s="69" t="s">
        <v>64</v>
      </c>
      <c r="C20" s="3">
        <f>D20/12</f>
        <v>30000</v>
      </c>
      <c r="D20" s="3">
        <v>360000</v>
      </c>
    </row>
    <row r="21" spans="1:4" ht="7" customHeight="1">
      <c r="C21" s="11"/>
      <c r="D21" s="11"/>
    </row>
    <row r="22" spans="1:4">
      <c r="A22" s="77" t="s">
        <v>11</v>
      </c>
      <c r="B22" s="77"/>
      <c r="C22" s="12">
        <f>SUM(C4:C19)</f>
        <v>323005.83333333337</v>
      </c>
      <c r="D22" s="12">
        <f>SUM(D4:D19)</f>
        <v>3876070</v>
      </c>
    </row>
  </sheetData>
  <mergeCells count="3">
    <mergeCell ref="A1:D1"/>
    <mergeCell ref="A3:B3"/>
    <mergeCell ref="A22:B22"/>
  </mergeCells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0"/>
  <sheetViews>
    <sheetView showGridLines="0" topLeftCell="A5" workbookViewId="0">
      <selection activeCell="A20" sqref="A20:XFD20"/>
    </sheetView>
  </sheetViews>
  <sheetFormatPr defaultColWidth="9" defaultRowHeight="14.5"/>
  <cols>
    <col min="1" max="1" width="3.90625" customWidth="1"/>
    <col min="2" max="2" width="55.36328125" customWidth="1"/>
    <col min="3" max="3" width="16" customWidth="1"/>
    <col min="4" max="4" width="16.36328125" customWidth="1"/>
  </cols>
  <sheetData>
    <row r="1" spans="1:5" ht="18.5">
      <c r="A1" s="76" t="s">
        <v>25</v>
      </c>
      <c r="B1" s="76"/>
      <c r="C1" s="76"/>
      <c r="D1" s="76"/>
    </row>
    <row r="3" spans="1:5">
      <c r="A3" s="77" t="s">
        <v>26</v>
      </c>
      <c r="B3" s="77"/>
      <c r="C3" s="2" t="s">
        <v>9</v>
      </c>
      <c r="D3" s="2" t="s">
        <v>0</v>
      </c>
    </row>
    <row r="4" spans="1:5">
      <c r="A4" s="78" t="s">
        <v>27</v>
      </c>
      <c r="B4" s="78"/>
      <c r="C4" s="26">
        <f>SUM(C5:C11)</f>
        <v>137500</v>
      </c>
      <c r="D4" s="26">
        <f t="shared" ref="D4:D8" si="0">C4*12</f>
        <v>1650000</v>
      </c>
    </row>
    <row r="5" spans="1:5" ht="29">
      <c r="B5" s="54" t="s">
        <v>110</v>
      </c>
      <c r="C5" s="5">
        <f>D5/12</f>
        <v>54166.666666666664</v>
      </c>
      <c r="D5" s="5">
        <v>650000</v>
      </c>
    </row>
    <row r="6" spans="1:5">
      <c r="B6" s="4" t="s">
        <v>28</v>
      </c>
      <c r="C6" s="5">
        <f>D6/12</f>
        <v>43333.333333333336</v>
      </c>
      <c r="D6" s="5">
        <v>520000</v>
      </c>
    </row>
    <row r="7" spans="1:5">
      <c r="B7" s="4" t="s">
        <v>29</v>
      </c>
      <c r="C7" s="5">
        <v>6500</v>
      </c>
      <c r="D7" s="5">
        <f t="shared" si="0"/>
        <v>78000</v>
      </c>
    </row>
    <row r="8" spans="1:5">
      <c r="B8" s="4" t="s">
        <v>75</v>
      </c>
      <c r="C8" s="5">
        <v>7000</v>
      </c>
      <c r="D8" s="5">
        <f t="shared" si="0"/>
        <v>84000</v>
      </c>
    </row>
    <row r="9" spans="1:5">
      <c r="B9" s="8" t="s">
        <v>88</v>
      </c>
      <c r="C9" s="9">
        <f>D9/12</f>
        <v>20000</v>
      </c>
      <c r="D9" s="5">
        <v>240000</v>
      </c>
    </row>
    <row r="10" spans="1:5">
      <c r="B10" s="8" t="s">
        <v>111</v>
      </c>
      <c r="C10" s="9">
        <f>D10/12</f>
        <v>4000</v>
      </c>
      <c r="D10" s="5">
        <v>48000</v>
      </c>
      <c r="E10" s="59"/>
    </row>
    <row r="11" spans="1:5">
      <c r="B11" s="6" t="s">
        <v>30</v>
      </c>
      <c r="C11" s="7">
        <f>D11/12</f>
        <v>2500</v>
      </c>
      <c r="D11" s="5">
        <v>30000</v>
      </c>
    </row>
    <row r="12" spans="1:5">
      <c r="A12" s="78" t="s">
        <v>31</v>
      </c>
      <c r="B12" s="78"/>
      <c r="C12" s="26">
        <f>SUM(C13,C14,C15)</f>
        <v>52916.666666666664</v>
      </c>
      <c r="D12" s="26">
        <f>SUM(D13:D15)</f>
        <v>635000</v>
      </c>
    </row>
    <row r="13" spans="1:5">
      <c r="B13" s="4" t="s">
        <v>32</v>
      </c>
      <c r="C13" s="5">
        <f>D13/12</f>
        <v>20833.333333333332</v>
      </c>
      <c r="D13" s="5">
        <v>250000</v>
      </c>
    </row>
    <row r="14" spans="1:5">
      <c r="B14" s="8" t="s">
        <v>63</v>
      </c>
      <c r="C14" s="5">
        <f t="shared" ref="C14:C15" si="1">D14/12</f>
        <v>25833.333333333332</v>
      </c>
      <c r="D14" s="5">
        <v>310000</v>
      </c>
    </row>
    <row r="15" spans="1:5">
      <c r="B15" s="8" t="s">
        <v>71</v>
      </c>
      <c r="C15" s="5">
        <f t="shared" si="1"/>
        <v>6250</v>
      </c>
      <c r="D15" s="5">
        <v>75000</v>
      </c>
    </row>
    <row r="16" spans="1:5">
      <c r="A16" s="82" t="s">
        <v>102</v>
      </c>
      <c r="B16" s="78"/>
      <c r="C16" s="26">
        <f>SUM(C17:C19)</f>
        <v>43666.666666666664</v>
      </c>
      <c r="D16" s="26">
        <f t="shared" ref="D16:D28" si="2">C16*12</f>
        <v>524000</v>
      </c>
    </row>
    <row r="17" spans="1:4">
      <c r="B17" s="4" t="s">
        <v>60</v>
      </c>
      <c r="C17" s="5">
        <f>D17/12</f>
        <v>24500</v>
      </c>
      <c r="D17" s="5">
        <v>294000</v>
      </c>
    </row>
    <row r="18" spans="1:4">
      <c r="B18" s="4" t="s">
        <v>33</v>
      </c>
      <c r="C18" s="5">
        <f>D18/12</f>
        <v>14166.666666666666</v>
      </c>
      <c r="D18" s="5">
        <v>170000</v>
      </c>
    </row>
    <row r="19" spans="1:4">
      <c r="B19" s="8" t="s">
        <v>59</v>
      </c>
      <c r="C19" s="9">
        <v>5000</v>
      </c>
      <c r="D19" s="5">
        <f t="shared" si="2"/>
        <v>60000</v>
      </c>
    </row>
    <row r="20" spans="1:4">
      <c r="A20" s="78" t="s">
        <v>34</v>
      </c>
      <c r="B20" s="78"/>
      <c r="C20" s="26">
        <f>SUM(C21:C22)</f>
        <v>11900</v>
      </c>
      <c r="D20" s="26">
        <f t="shared" si="2"/>
        <v>142800</v>
      </c>
    </row>
    <row r="21" spans="1:4" ht="29">
      <c r="B21" s="54" t="s">
        <v>76</v>
      </c>
      <c r="C21" s="5">
        <v>6000</v>
      </c>
      <c r="D21" s="5">
        <f t="shared" si="2"/>
        <v>72000</v>
      </c>
    </row>
    <row r="22" spans="1:4">
      <c r="A22" s="27"/>
      <c r="B22" s="36" t="s">
        <v>103</v>
      </c>
      <c r="C22" s="28">
        <v>5900</v>
      </c>
      <c r="D22" s="29">
        <f t="shared" si="2"/>
        <v>70800</v>
      </c>
    </row>
    <row r="23" spans="1:4">
      <c r="A23" s="79" t="s">
        <v>115</v>
      </c>
      <c r="B23" s="80"/>
      <c r="C23" s="26">
        <f>D23/12</f>
        <v>4583.333333333333</v>
      </c>
      <c r="D23" s="26">
        <v>55000</v>
      </c>
    </row>
    <row r="24" spans="1:4" ht="17" customHeight="1">
      <c r="A24" s="79" t="s">
        <v>116</v>
      </c>
      <c r="B24" s="80"/>
      <c r="C24" s="26">
        <f>D24/12</f>
        <v>9166.6666666666661</v>
      </c>
      <c r="D24" s="26">
        <f>SUM(D25:D27)</f>
        <v>110000</v>
      </c>
    </row>
    <row r="25" spans="1:4" ht="17" customHeight="1">
      <c r="B25" s="54" t="s">
        <v>118</v>
      </c>
      <c r="C25" s="5">
        <f>D25/12</f>
        <v>833.33333333333337</v>
      </c>
      <c r="D25" s="5">
        <v>10000</v>
      </c>
    </row>
    <row r="26" spans="1:4" ht="17" customHeight="1">
      <c r="B26" s="54" t="s">
        <v>117</v>
      </c>
      <c r="C26" s="5">
        <f>D26/12</f>
        <v>2916.6666666666665</v>
      </c>
      <c r="D26" s="5">
        <v>35000</v>
      </c>
    </row>
    <row r="27" spans="1:4" ht="17" customHeight="1">
      <c r="B27" s="54" t="s">
        <v>121</v>
      </c>
      <c r="C27" s="5">
        <f>D27/12</f>
        <v>5416.666666666667</v>
      </c>
      <c r="D27" s="5">
        <v>65000</v>
      </c>
    </row>
    <row r="28" spans="1:4">
      <c r="A28" s="78" t="s">
        <v>35</v>
      </c>
      <c r="B28" s="78"/>
      <c r="C28" s="26">
        <v>10000</v>
      </c>
      <c r="D28" s="26">
        <f t="shared" si="2"/>
        <v>120000</v>
      </c>
    </row>
    <row r="29" spans="1:4" ht="8" customHeight="1">
      <c r="C29" s="11"/>
      <c r="D29" s="11"/>
    </row>
    <row r="30" spans="1:4" s="1" customFormat="1">
      <c r="A30" s="81" t="s">
        <v>11</v>
      </c>
      <c r="B30" s="81"/>
      <c r="C30" s="13">
        <f>C4+C12+C16+C20+C24+C28</f>
        <v>265150</v>
      </c>
      <c r="D30" s="13">
        <f>D4+D12+D16+D20+D23+D24+D28</f>
        <v>3236800</v>
      </c>
    </row>
  </sheetData>
  <mergeCells count="10">
    <mergeCell ref="A20:B20"/>
    <mergeCell ref="A24:B24"/>
    <mergeCell ref="A28:B28"/>
    <mergeCell ref="A30:B30"/>
    <mergeCell ref="A1:D1"/>
    <mergeCell ref="A3:B3"/>
    <mergeCell ref="A4:B4"/>
    <mergeCell ref="A12:B12"/>
    <mergeCell ref="A16:B16"/>
    <mergeCell ref="A23:B23"/>
  </mergeCells>
  <pageMargins left="0.75" right="0.75" top="1" bottom="1" header="0.5" footer="0.5"/>
  <ignoredErrors>
    <ignoredError sqref="C20" formulaRange="1"/>
    <ignoredError sqref="C12 C1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showGridLines="0" workbookViewId="0">
      <selection activeCell="F14" sqref="F14"/>
    </sheetView>
  </sheetViews>
  <sheetFormatPr defaultColWidth="9" defaultRowHeight="14.5"/>
  <cols>
    <col min="1" max="1" width="46.1796875" customWidth="1"/>
    <col min="2" max="2" width="14.26953125" customWidth="1"/>
    <col min="3" max="3" width="17.7265625" customWidth="1"/>
  </cols>
  <sheetData>
    <row r="1" spans="1:3" ht="18.5">
      <c r="A1" s="76" t="s">
        <v>1</v>
      </c>
      <c r="B1" s="76"/>
      <c r="C1" s="76"/>
    </row>
    <row r="3" spans="1:3" s="1" customFormat="1">
      <c r="A3" s="2" t="s">
        <v>8</v>
      </c>
      <c r="B3" s="2" t="s">
        <v>9</v>
      </c>
      <c r="C3" s="2" t="s">
        <v>0</v>
      </c>
    </row>
    <row r="4" spans="1:3">
      <c r="A4" s="14" t="s">
        <v>10</v>
      </c>
      <c r="B4" s="3">
        <v>50000</v>
      </c>
      <c r="C4" s="3">
        <f>B4*12</f>
        <v>600000</v>
      </c>
    </row>
    <row r="5" spans="1:3" ht="16.5" customHeight="1">
      <c r="A5" s="14" t="s">
        <v>41</v>
      </c>
      <c r="B5" s="3">
        <f>(B4*13%)</f>
        <v>6500</v>
      </c>
      <c r="C5" s="3">
        <f>(C4*13%)</f>
        <v>78000</v>
      </c>
    </row>
    <row r="6" spans="1:3">
      <c r="A6" s="70" t="s">
        <v>11</v>
      </c>
      <c r="B6" s="71">
        <f>B4</f>
        <v>50000</v>
      </c>
      <c r="C6" s="71">
        <f>C4</f>
        <v>600000</v>
      </c>
    </row>
  </sheetData>
  <mergeCells count="1">
    <mergeCell ref="A1:C1"/>
  </mergeCells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1"/>
  <sheetViews>
    <sheetView showGridLines="0" workbookViewId="0">
      <selection activeCell="G22" sqref="G22"/>
    </sheetView>
  </sheetViews>
  <sheetFormatPr defaultColWidth="9" defaultRowHeight="14.5"/>
  <cols>
    <col min="1" max="1" width="4.26953125" customWidth="1"/>
    <col min="2" max="2" width="38.6328125" customWidth="1"/>
    <col min="3" max="3" width="16.1796875" customWidth="1"/>
    <col min="4" max="4" width="13" customWidth="1"/>
  </cols>
  <sheetData>
    <row r="1" spans="1:4" ht="18.5">
      <c r="A1" s="76" t="s">
        <v>2</v>
      </c>
      <c r="B1" s="76"/>
      <c r="C1" s="76"/>
      <c r="D1" s="76"/>
    </row>
    <row r="3" spans="1:4" s="1" customFormat="1">
      <c r="A3" s="77" t="s">
        <v>12</v>
      </c>
      <c r="B3" s="77"/>
      <c r="C3" s="2" t="s">
        <v>9</v>
      </c>
      <c r="D3" s="2" t="s">
        <v>0</v>
      </c>
    </row>
    <row r="4" spans="1:4">
      <c r="A4" s="83" t="s">
        <v>13</v>
      </c>
      <c r="B4" s="84"/>
      <c r="C4" s="3">
        <f>SUM(C5:C6)</f>
        <v>15650</v>
      </c>
      <c r="D4" s="3">
        <f>SUM(D5:D6)</f>
        <v>187800</v>
      </c>
    </row>
    <row r="5" spans="1:4">
      <c r="A5" s="17"/>
      <c r="B5" s="15" t="s">
        <v>42</v>
      </c>
      <c r="C5" s="5">
        <f>'Заработная плата'!B4*0.3</f>
        <v>15000</v>
      </c>
      <c r="D5" s="5">
        <f t="shared" ref="D5:D10" si="0">C5*12</f>
        <v>180000</v>
      </c>
    </row>
    <row r="6" spans="1:4">
      <c r="A6" s="16"/>
      <c r="B6" s="4" t="s">
        <v>14</v>
      </c>
      <c r="C6" s="5">
        <v>650</v>
      </c>
      <c r="D6" s="5">
        <f t="shared" si="0"/>
        <v>7800</v>
      </c>
    </row>
    <row r="7" spans="1:4">
      <c r="A7" s="85" t="s">
        <v>43</v>
      </c>
      <c r="B7" s="86"/>
      <c r="C7" s="5">
        <f>D7/12</f>
        <v>7166.666666666667</v>
      </c>
      <c r="D7" s="5">
        <v>86000</v>
      </c>
    </row>
    <row r="8" spans="1:4" ht="28" customHeight="1">
      <c r="A8" s="87" t="s">
        <v>101</v>
      </c>
      <c r="B8" s="88"/>
      <c r="C8" s="5">
        <v>150</v>
      </c>
      <c r="D8" s="5">
        <f t="shared" si="0"/>
        <v>1800</v>
      </c>
    </row>
    <row r="9" spans="1:4">
      <c r="A9" s="84" t="s">
        <v>15</v>
      </c>
      <c r="B9" s="84"/>
      <c r="C9" s="3">
        <f>D9/12</f>
        <v>12666.666666666666</v>
      </c>
      <c r="D9" s="3">
        <v>152000</v>
      </c>
    </row>
    <row r="10" spans="1:4" ht="15" customHeight="1">
      <c r="A10" s="84" t="s">
        <v>65</v>
      </c>
      <c r="B10" s="84"/>
      <c r="C10" s="11">
        <v>3400</v>
      </c>
      <c r="D10" s="3">
        <f t="shared" si="0"/>
        <v>40800</v>
      </c>
    </row>
    <row r="11" spans="1:4">
      <c r="A11" s="77" t="s">
        <v>11</v>
      </c>
      <c r="B11" s="77"/>
      <c r="C11" s="12">
        <f>C4+C7+C8+C9+C10</f>
        <v>39033.333333333336</v>
      </c>
      <c r="D11" s="12">
        <f>D4+D7+D8+D9+D10</f>
        <v>468400</v>
      </c>
    </row>
  </sheetData>
  <mergeCells count="8">
    <mergeCell ref="A1:D1"/>
    <mergeCell ref="A3:B3"/>
    <mergeCell ref="A4:B4"/>
    <mergeCell ref="A9:B9"/>
    <mergeCell ref="A11:B11"/>
    <mergeCell ref="A10:B10"/>
    <mergeCell ref="A7:B7"/>
    <mergeCell ref="A8:B8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"/>
  <sheetViews>
    <sheetView showGridLines="0" zoomScaleNormal="100" workbookViewId="0">
      <selection activeCell="D17" sqref="D17"/>
    </sheetView>
  </sheetViews>
  <sheetFormatPr defaultColWidth="9" defaultRowHeight="14.5"/>
  <cols>
    <col min="1" max="1" width="3.90625" customWidth="1"/>
    <col min="2" max="2" width="68.6328125" customWidth="1"/>
    <col min="3" max="3" width="16" customWidth="1"/>
    <col min="4" max="4" width="16.36328125" customWidth="1"/>
  </cols>
  <sheetData>
    <row r="1" spans="1:4" ht="18.5">
      <c r="A1" s="76" t="s">
        <v>36</v>
      </c>
      <c r="B1" s="76"/>
      <c r="C1" s="76"/>
      <c r="D1" s="76"/>
    </row>
    <row r="3" spans="1:4">
      <c r="A3" s="77" t="s">
        <v>26</v>
      </c>
      <c r="B3" s="77"/>
      <c r="C3" s="2" t="s">
        <v>9</v>
      </c>
      <c r="D3" s="2" t="s">
        <v>0</v>
      </c>
    </row>
    <row r="4" spans="1:4">
      <c r="A4" s="89" t="s">
        <v>70</v>
      </c>
      <c r="B4" s="84"/>
      <c r="C4" s="3">
        <f>D4/12</f>
        <v>24133.333333333332</v>
      </c>
      <c r="D4" s="3">
        <f>SUM(D5:D6)</f>
        <v>289600</v>
      </c>
    </row>
    <row r="5" spans="1:4">
      <c r="B5" s="4" t="s">
        <v>73</v>
      </c>
      <c r="C5" s="5">
        <f>D5/12</f>
        <v>6133.333333333333</v>
      </c>
      <c r="D5" s="5">
        <v>73600</v>
      </c>
    </row>
    <row r="6" spans="1:4">
      <c r="B6" s="8" t="s">
        <v>66</v>
      </c>
      <c r="C6" s="9">
        <f>D6/12</f>
        <v>18000</v>
      </c>
      <c r="D6" s="5">
        <v>216000</v>
      </c>
    </row>
    <row r="7" spans="1:4">
      <c r="A7" s="84" t="s">
        <v>37</v>
      </c>
      <c r="B7" s="84"/>
      <c r="C7" s="3">
        <f>C8</f>
        <v>5000</v>
      </c>
      <c r="D7" s="3">
        <f>C7*12</f>
        <v>60000</v>
      </c>
    </row>
    <row r="8" spans="1:4" ht="14" customHeight="1">
      <c r="B8" s="24" t="s">
        <v>7</v>
      </c>
      <c r="C8" s="3">
        <f>D8/12</f>
        <v>5000</v>
      </c>
      <c r="D8" s="3">
        <v>60000</v>
      </c>
    </row>
    <row r="9" spans="1:4" s="1" customFormat="1">
      <c r="A9" s="81" t="s">
        <v>11</v>
      </c>
      <c r="B9" s="81"/>
      <c r="C9" s="13">
        <f>SUM(C4,C7)</f>
        <v>29133.333333333332</v>
      </c>
      <c r="D9" s="13">
        <f>D4+D7</f>
        <v>349600</v>
      </c>
    </row>
  </sheetData>
  <mergeCells count="5">
    <mergeCell ref="A9:B9"/>
    <mergeCell ref="A1:D1"/>
    <mergeCell ref="A3:B3"/>
    <mergeCell ref="A4:B4"/>
    <mergeCell ref="A7:B7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7"/>
  <sheetViews>
    <sheetView showGridLines="0" zoomScale="95" workbookViewId="0">
      <selection activeCell="D8" sqref="D8"/>
    </sheetView>
  </sheetViews>
  <sheetFormatPr defaultColWidth="9" defaultRowHeight="14.5"/>
  <cols>
    <col min="1" max="1" width="3.90625" customWidth="1"/>
    <col min="2" max="2" width="78.6328125" customWidth="1"/>
    <col min="3" max="3" width="16" customWidth="1"/>
    <col min="4" max="4" width="16.36328125" customWidth="1"/>
  </cols>
  <sheetData>
    <row r="1" spans="1:4" ht="18.5">
      <c r="A1" s="76" t="s">
        <v>38</v>
      </c>
      <c r="B1" s="76"/>
      <c r="C1" s="76"/>
      <c r="D1" s="76"/>
    </row>
    <row r="3" spans="1:4">
      <c r="A3" s="77" t="s">
        <v>26</v>
      </c>
      <c r="B3" s="77"/>
      <c r="C3" s="2" t="s">
        <v>9</v>
      </c>
      <c r="D3" s="2" t="s">
        <v>0</v>
      </c>
    </row>
    <row r="4" spans="1:4">
      <c r="A4" s="90" t="s">
        <v>127</v>
      </c>
      <c r="B4" s="84"/>
      <c r="C4" s="5">
        <f>D4/12</f>
        <v>20833.333333333332</v>
      </c>
      <c r="D4" s="5">
        <v>250000</v>
      </c>
    </row>
    <row r="5" spans="1:4">
      <c r="A5" s="89" t="s">
        <v>72</v>
      </c>
      <c r="B5" s="84"/>
      <c r="C5" s="33"/>
      <c r="D5" s="33"/>
    </row>
    <row r="6" spans="1:4" ht="7" customHeight="1"/>
    <row r="7" spans="1:4">
      <c r="A7" s="81" t="s">
        <v>11</v>
      </c>
      <c r="B7" s="81"/>
      <c r="C7" s="34">
        <f>C4+C5</f>
        <v>20833.333333333332</v>
      </c>
      <c r="D7" s="13">
        <f>D4+D5</f>
        <v>250000</v>
      </c>
    </row>
  </sheetData>
  <mergeCells count="5">
    <mergeCell ref="A7:B7"/>
    <mergeCell ref="A1:D1"/>
    <mergeCell ref="A3:B3"/>
    <mergeCell ref="A4:B4"/>
    <mergeCell ref="A5:B5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6"/>
  <sheetViews>
    <sheetView showGridLines="0" workbookViewId="0">
      <selection activeCell="D22" sqref="D22"/>
    </sheetView>
  </sheetViews>
  <sheetFormatPr defaultColWidth="9" defaultRowHeight="14.5"/>
  <cols>
    <col min="1" max="1" width="4.26953125" customWidth="1"/>
    <col min="2" max="2" width="83.453125" customWidth="1"/>
    <col min="3" max="3" width="16.1796875" customWidth="1"/>
    <col min="4" max="4" width="13" customWidth="1"/>
  </cols>
  <sheetData>
    <row r="1" spans="1:4" ht="18.5">
      <c r="A1" s="76" t="s">
        <v>7</v>
      </c>
      <c r="B1" s="76"/>
      <c r="C1" s="76"/>
      <c r="D1" s="76"/>
    </row>
    <row r="3" spans="1:4" s="1" customFormat="1">
      <c r="A3" s="77" t="s">
        <v>16</v>
      </c>
      <c r="B3" s="77"/>
      <c r="C3" s="2" t="s">
        <v>9</v>
      </c>
      <c r="D3" s="2" t="s">
        <v>0</v>
      </c>
    </row>
    <row r="4" spans="1:4">
      <c r="A4" s="91" t="s">
        <v>98</v>
      </c>
      <c r="B4" s="84"/>
      <c r="C4" s="3">
        <f>C5+C7+C6</f>
        <v>3330</v>
      </c>
      <c r="D4" s="3">
        <f t="shared" ref="D4:D11" si="0">C4*12</f>
        <v>39960</v>
      </c>
    </row>
    <row r="5" spans="1:4">
      <c r="B5" s="4" t="s">
        <v>39</v>
      </c>
      <c r="C5" s="5">
        <v>2500</v>
      </c>
      <c r="D5" s="3">
        <f t="shared" si="0"/>
        <v>30000</v>
      </c>
    </row>
    <row r="6" spans="1:4">
      <c r="B6" s="6" t="s">
        <v>69</v>
      </c>
      <c r="C6" s="7">
        <v>830</v>
      </c>
      <c r="D6" s="3">
        <f t="shared" si="0"/>
        <v>9960</v>
      </c>
    </row>
    <row r="7" spans="1:4">
      <c r="B7" s="8" t="s">
        <v>40</v>
      </c>
      <c r="C7" s="9">
        <v>0</v>
      </c>
      <c r="D7" s="10">
        <f t="shared" si="0"/>
        <v>0</v>
      </c>
    </row>
    <row r="8" spans="1:4">
      <c r="A8" s="84" t="s">
        <v>67</v>
      </c>
      <c r="B8" s="84"/>
      <c r="C8" s="3">
        <f>SUM(C9:C11)</f>
        <v>6366.6666666666661</v>
      </c>
      <c r="D8" s="3">
        <f>SUM(D9:D11)</f>
        <v>76400</v>
      </c>
    </row>
    <row r="9" spans="1:4">
      <c r="A9" s="31"/>
      <c r="B9" s="31" t="s">
        <v>68</v>
      </c>
      <c r="C9" s="3">
        <v>1400</v>
      </c>
      <c r="D9" s="3">
        <f t="shared" si="0"/>
        <v>16800</v>
      </c>
    </row>
    <row r="10" spans="1:4">
      <c r="A10" s="31"/>
      <c r="B10" s="31" t="s">
        <v>113</v>
      </c>
      <c r="C10" s="3">
        <f>D10/12</f>
        <v>2666.6666666666665</v>
      </c>
      <c r="D10" s="3">
        <v>32000</v>
      </c>
    </row>
    <row r="11" spans="1:4">
      <c r="A11" s="31"/>
      <c r="B11" s="68" t="s">
        <v>114</v>
      </c>
      <c r="C11" s="3">
        <v>2300</v>
      </c>
      <c r="D11" s="3">
        <f t="shared" si="0"/>
        <v>27600</v>
      </c>
    </row>
    <row r="12" spans="1:4">
      <c r="A12" s="93" t="s">
        <v>96</v>
      </c>
      <c r="B12" s="86"/>
      <c r="C12" s="3">
        <f>D12/12</f>
        <v>12500</v>
      </c>
      <c r="D12" s="3">
        <v>150000</v>
      </c>
    </row>
    <row r="13" spans="1:4">
      <c r="A13" s="93" t="s">
        <v>99</v>
      </c>
      <c r="B13" s="94"/>
      <c r="C13" s="3">
        <v>3500</v>
      </c>
      <c r="D13" s="3">
        <f>C13*12</f>
        <v>42000</v>
      </c>
    </row>
    <row r="14" spans="1:4" ht="32" customHeight="1">
      <c r="A14" s="92" t="s">
        <v>62</v>
      </c>
      <c r="B14" s="92"/>
      <c r="C14" s="3">
        <f>D14/12</f>
        <v>7500</v>
      </c>
      <c r="D14" s="3">
        <v>90000</v>
      </c>
    </row>
    <row r="15" spans="1:4" ht="7" customHeight="1">
      <c r="C15" s="11"/>
      <c r="D15" s="11"/>
    </row>
    <row r="16" spans="1:4">
      <c r="A16" s="77" t="s">
        <v>11</v>
      </c>
      <c r="B16" s="77"/>
      <c r="C16" s="12">
        <f>C4+C8+C12+C14</f>
        <v>29696.666666666664</v>
      </c>
      <c r="D16" s="12">
        <f>D4+D8+D12+D13+D14</f>
        <v>398360</v>
      </c>
    </row>
  </sheetData>
  <mergeCells count="8">
    <mergeCell ref="A16:B16"/>
    <mergeCell ref="A1:D1"/>
    <mergeCell ref="A3:B3"/>
    <mergeCell ref="A4:B4"/>
    <mergeCell ref="A8:B8"/>
    <mergeCell ref="A14:B14"/>
    <mergeCell ref="A12:B12"/>
    <mergeCell ref="A13:B13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945C8-0FAB-4FA7-9BB6-8F75AA597E20}">
  <sheetPr>
    <tabColor rgb="FF00B0F0"/>
  </sheetPr>
  <dimension ref="A1:F23"/>
  <sheetViews>
    <sheetView workbookViewId="0">
      <selection activeCell="A16" sqref="A16:B16"/>
    </sheetView>
  </sheetViews>
  <sheetFormatPr defaultRowHeight="14.5"/>
  <cols>
    <col min="2" max="2" width="60.36328125" customWidth="1"/>
    <col min="3" max="3" width="27.90625" customWidth="1"/>
    <col min="4" max="4" width="18.26953125" customWidth="1"/>
    <col min="5" max="5" width="14" bestFit="1" customWidth="1"/>
    <col min="6" max="6" width="11.453125" bestFit="1" customWidth="1"/>
  </cols>
  <sheetData>
    <row r="1" spans="1:5">
      <c r="B1" s="59"/>
      <c r="D1" s="30"/>
    </row>
    <row r="2" spans="1:5" ht="34" customHeight="1">
      <c r="A2" s="98" t="s">
        <v>105</v>
      </c>
      <c r="B2" s="98"/>
      <c r="C2" s="98"/>
      <c r="D2" s="98"/>
    </row>
    <row r="3" spans="1:5">
      <c r="A3" s="77" t="s">
        <v>26</v>
      </c>
      <c r="B3" s="77"/>
      <c r="C3" s="2" t="s">
        <v>9</v>
      </c>
      <c r="D3" s="2" t="s">
        <v>0</v>
      </c>
    </row>
    <row r="4" spans="1:5">
      <c r="A4" s="84" t="s">
        <v>56</v>
      </c>
      <c r="B4" s="84"/>
      <c r="C4" s="20">
        <f>D4/12</f>
        <v>28250</v>
      </c>
      <c r="D4" s="3">
        <v>339000</v>
      </c>
      <c r="E4" s="30"/>
    </row>
    <row r="5" spans="1:5">
      <c r="A5" s="84" t="s">
        <v>17</v>
      </c>
      <c r="B5" s="84"/>
      <c r="C5" s="3">
        <v>950</v>
      </c>
      <c r="D5" s="3">
        <v>12000</v>
      </c>
      <c r="E5" s="30"/>
    </row>
    <row r="6" spans="1:5">
      <c r="A6" s="84" t="s">
        <v>53</v>
      </c>
      <c r="B6" s="84"/>
      <c r="C6" s="3">
        <f>D6/12</f>
        <v>38341.666666666664</v>
      </c>
      <c r="D6" s="3">
        <f>SUM(D7:D10)</f>
        <v>460100</v>
      </c>
      <c r="E6" s="30"/>
    </row>
    <row r="7" spans="1:5">
      <c r="B7" s="21" t="s">
        <v>49</v>
      </c>
      <c r="C7" s="22">
        <f>D7/12</f>
        <v>5011.166666666667</v>
      </c>
      <c r="D7" s="22">
        <v>60134</v>
      </c>
      <c r="E7" s="30"/>
    </row>
    <row r="8" spans="1:5">
      <c r="B8" s="21" t="s">
        <v>50</v>
      </c>
      <c r="C8" s="22">
        <f>D8/12</f>
        <v>12465.5</v>
      </c>
      <c r="D8" s="22">
        <v>149586</v>
      </c>
      <c r="E8" s="30"/>
    </row>
    <row r="9" spans="1:5">
      <c r="B9" s="21" t="s">
        <v>51</v>
      </c>
      <c r="C9" s="22">
        <f>D9/12</f>
        <v>9362.5</v>
      </c>
      <c r="D9" s="22">
        <v>112350</v>
      </c>
      <c r="E9" s="30"/>
    </row>
    <row r="10" spans="1:5">
      <c r="B10" s="23" t="s">
        <v>54</v>
      </c>
      <c r="C10" s="22">
        <f>D10/12</f>
        <v>11502.5</v>
      </c>
      <c r="D10" s="22">
        <v>138030</v>
      </c>
      <c r="E10" s="30"/>
    </row>
    <row r="11" spans="1:5">
      <c r="B11" s="8"/>
      <c r="C11" s="9"/>
      <c r="D11" s="5"/>
      <c r="E11" s="30"/>
    </row>
    <row r="12" spans="1:5">
      <c r="A12" s="84" t="s">
        <v>46</v>
      </c>
      <c r="B12" s="84"/>
      <c r="C12" s="9">
        <f>D12/12</f>
        <v>27083.333333333332</v>
      </c>
      <c r="D12" s="5">
        <f>SUM(D13:D14)</f>
        <v>325000</v>
      </c>
      <c r="E12" s="30"/>
    </row>
    <row r="13" spans="1:5">
      <c r="A13" s="18"/>
      <c r="B13" s="21" t="s">
        <v>44</v>
      </c>
      <c r="C13" s="22">
        <f>D13/12</f>
        <v>12500</v>
      </c>
      <c r="D13" s="22">
        <v>150000</v>
      </c>
      <c r="E13" s="30"/>
    </row>
    <row r="14" spans="1:5">
      <c r="B14" s="21" t="s">
        <v>45</v>
      </c>
      <c r="C14" s="22">
        <f t="shared" ref="C14:C15" si="0">D14/12</f>
        <v>14583.333333333334</v>
      </c>
      <c r="D14" s="22">
        <v>175000</v>
      </c>
      <c r="E14" s="30"/>
    </row>
    <row r="15" spans="1:5">
      <c r="A15" s="95" t="s">
        <v>52</v>
      </c>
      <c r="B15" s="96"/>
      <c r="C15" s="22">
        <f t="shared" si="0"/>
        <v>7916.666666666667</v>
      </c>
      <c r="D15" s="5">
        <v>95000</v>
      </c>
      <c r="E15" s="30"/>
    </row>
    <row r="16" spans="1:5">
      <c r="A16" s="97" t="s">
        <v>55</v>
      </c>
      <c r="B16" s="97"/>
      <c r="C16" s="19"/>
      <c r="D16" s="19"/>
      <c r="E16" s="30"/>
    </row>
    <row r="17" spans="1:6" ht="29">
      <c r="A17" s="37"/>
      <c r="B17" s="61" t="s">
        <v>47</v>
      </c>
      <c r="C17" s="9">
        <v>0</v>
      </c>
      <c r="D17" s="5">
        <v>0</v>
      </c>
      <c r="E17" s="30"/>
    </row>
    <row r="18" spans="1:6">
      <c r="A18" s="18"/>
      <c r="B18" s="18" t="s">
        <v>48</v>
      </c>
      <c r="C18" s="3">
        <v>0</v>
      </c>
      <c r="D18" s="3">
        <v>0</v>
      </c>
      <c r="E18" s="30"/>
    </row>
    <row r="19" spans="1:6">
      <c r="A19" s="81" t="s">
        <v>11</v>
      </c>
      <c r="B19" s="81"/>
      <c r="C19" s="13">
        <f>C5+C6+C12+C15+C16</f>
        <v>74291.666666666672</v>
      </c>
      <c r="D19" s="13">
        <f>D4+D5+D6+D12+D15+D16</f>
        <v>1231100</v>
      </c>
    </row>
    <row r="20" spans="1:6">
      <c r="A20" s="14"/>
      <c r="B20" s="63" t="s">
        <v>106</v>
      </c>
      <c r="C20" s="14"/>
      <c r="D20" s="32">
        <f>D19</f>
        <v>1231100</v>
      </c>
      <c r="E20" s="30"/>
    </row>
    <row r="21" spans="1:6">
      <c r="A21" s="14"/>
      <c r="B21" s="62" t="s">
        <v>107</v>
      </c>
      <c r="C21" s="14"/>
      <c r="D21" s="32">
        <f>D20/65</f>
        <v>18940</v>
      </c>
      <c r="E21" s="30"/>
      <c r="F21" s="30"/>
    </row>
    <row r="22" spans="1:6">
      <c r="A22" s="14"/>
      <c r="B22" s="64" t="s">
        <v>108</v>
      </c>
      <c r="C22" s="22">
        <f>D22/12</f>
        <v>1583.3333333333333</v>
      </c>
      <c r="D22" s="5">
        <v>19000</v>
      </c>
    </row>
    <row r="23" spans="1:6" ht="43.5">
      <c r="B23" s="60" t="s">
        <v>109</v>
      </c>
    </row>
  </sheetData>
  <mergeCells count="9">
    <mergeCell ref="A12:B12"/>
    <mergeCell ref="A15:B15"/>
    <mergeCell ref="A16:B16"/>
    <mergeCell ref="A19:B19"/>
    <mergeCell ref="A2:D2"/>
    <mergeCell ref="A3:B3"/>
    <mergeCell ref="A4:B4"/>
    <mergeCell ref="A5:B5"/>
    <mergeCell ref="A6:B6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Смета 2027</vt:lpstr>
      <vt:lpstr>Контрагенты</vt:lpstr>
      <vt:lpstr>Благоустройство</vt:lpstr>
      <vt:lpstr>Заработная плата</vt:lpstr>
      <vt:lpstr>Налоги и отчисления</vt:lpstr>
      <vt:lpstr>Противопожарные мероприятия</vt:lpstr>
      <vt:lpstr>Мероприятия и праздники</vt:lpstr>
      <vt:lpstr>Прочее</vt:lpstr>
      <vt:lpstr>Поддержание водопровода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alekseyburakov</dc:creator>
  <cp:lastModifiedBy>Зуева Мария Борисовна</cp:lastModifiedBy>
  <dcterms:created xsi:type="dcterms:W3CDTF">2023-11-06T10:00:17Z</dcterms:created>
  <dcterms:modified xsi:type="dcterms:W3CDTF">2026-07-22T20:23:57Z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1033-5.4.4.8063</vt:lpwstr>
  </property>
</Properties>
</file>